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4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5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6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105" windowWidth="28755" windowHeight="12750"/>
  </bookViews>
  <sheets>
    <sheet name="prehled" sheetId="6" r:id="rId1"/>
    <sheet name="komplet" sheetId="7" r:id="rId2"/>
    <sheet name="organic" sheetId="8" r:id="rId3"/>
    <sheet name="cpc" sheetId="9" r:id="rId4"/>
    <sheet name="zbožáky" sheetId="10" r:id="rId5"/>
    <sheet name="direct,ref,mm,rtb" sheetId="11" r:id="rId6"/>
    <sheet name="nastavit-mesic" sheetId="5" r:id="rId7"/>
    <sheet name="data-sem" sheetId="3" r:id="rId8"/>
  </sheets>
  <definedNames>
    <definedName name="_xlnm.Print_Area" localSheetId="1">komplet!$A$1:$AW$33</definedName>
    <definedName name="_xlnm.Print_Area" localSheetId="0">prehled!$A$1:$J$65</definedName>
  </definedNames>
  <calcPr calcId="145621"/>
</workbook>
</file>

<file path=xl/calcChain.xml><?xml version="1.0" encoding="utf-8"?>
<calcChain xmlns="http://schemas.openxmlformats.org/spreadsheetml/2006/main">
  <c r="C2" i="3" l="1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C3" i="3"/>
  <c r="D3" i="3"/>
  <c r="E3" i="3"/>
  <c r="F3" i="3"/>
  <c r="G3" i="3"/>
  <c r="H3" i="3"/>
  <c r="I3" i="3"/>
  <c r="J3" i="3"/>
  <c r="K3" i="3"/>
  <c r="L3" i="3"/>
  <c r="L4" i="3" s="1"/>
  <c r="M3" i="3"/>
  <c r="N3" i="3"/>
  <c r="N4" i="3" s="1"/>
  <c r="O3" i="3"/>
  <c r="O4" i="3" s="1"/>
  <c r="P3" i="3"/>
  <c r="P4" i="3" s="1"/>
  <c r="Q3" i="3"/>
  <c r="R3" i="3"/>
  <c r="R4" i="3" s="1"/>
  <c r="S3" i="3"/>
  <c r="S4" i="3" s="1"/>
  <c r="T3" i="3"/>
  <c r="T4" i="3" s="1"/>
  <c r="U3" i="3"/>
  <c r="V3" i="3"/>
  <c r="W3" i="3"/>
  <c r="W4" i="3" s="1"/>
  <c r="X3" i="3"/>
  <c r="X4" i="3" s="1"/>
  <c r="Y3" i="3"/>
  <c r="Z3" i="3"/>
  <c r="Z4" i="3" s="1"/>
  <c r="AA3" i="3"/>
  <c r="AA4" i="3" s="1"/>
  <c r="AB3" i="3"/>
  <c r="AB4" i="3" s="1"/>
  <c r="AC3" i="3"/>
  <c r="AD3" i="3"/>
  <c r="AE3" i="3"/>
  <c r="AE4" i="3" s="1"/>
  <c r="AF3" i="3"/>
  <c r="AF4" i="3" s="1"/>
  <c r="AG3" i="3"/>
  <c r="AH3" i="3"/>
  <c r="AH4" i="3" s="1"/>
  <c r="C4" i="3"/>
  <c r="D4" i="3"/>
  <c r="E4" i="3"/>
  <c r="F4" i="3"/>
  <c r="G4" i="3"/>
  <c r="H4" i="3"/>
  <c r="I4" i="3"/>
  <c r="J4" i="3"/>
  <c r="K4" i="3"/>
  <c r="M4" i="3"/>
  <c r="Q4" i="3"/>
  <c r="U4" i="3"/>
  <c r="V4" i="3"/>
  <c r="Y4" i="3"/>
  <c r="AC4" i="3"/>
  <c r="AD4" i="3"/>
  <c r="AG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B5" i="3"/>
  <c r="B3" i="3"/>
  <c r="B2" i="3"/>
  <c r="A80" i="10" l="1"/>
  <c r="A81" i="10"/>
  <c r="A67" i="11"/>
  <c r="A65" i="11"/>
  <c r="A66" i="11"/>
  <c r="A64" i="11"/>
  <c r="A77" i="9"/>
  <c r="A78" i="9"/>
  <c r="A79" i="9"/>
  <c r="A80" i="9"/>
  <c r="A81" i="9"/>
  <c r="A76" i="9"/>
  <c r="A52" i="11"/>
  <c r="A53" i="11"/>
  <c r="A54" i="11"/>
  <c r="A55" i="11"/>
  <c r="A58" i="11"/>
  <c r="A59" i="11"/>
  <c r="A60" i="11"/>
  <c r="A61" i="11"/>
  <c r="A47" i="11"/>
  <c r="A48" i="11"/>
  <c r="A49" i="11"/>
  <c r="A46" i="11"/>
  <c r="A77" i="10"/>
  <c r="A78" i="10"/>
  <c r="A75" i="10"/>
  <c r="A76" i="10"/>
  <c r="A61" i="10"/>
  <c r="A62" i="10"/>
  <c r="A63" i="10"/>
  <c r="A65" i="10"/>
  <c r="A66" i="10"/>
  <c r="A67" i="10"/>
  <c r="A68" i="10"/>
  <c r="A70" i="10"/>
  <c r="A71" i="10"/>
  <c r="A72" i="10"/>
  <c r="A73" i="10"/>
  <c r="A60" i="10"/>
  <c r="A60" i="9"/>
  <c r="A61" i="9"/>
  <c r="A62" i="9"/>
  <c r="A63" i="9"/>
  <c r="A65" i="9"/>
  <c r="A66" i="9"/>
  <c r="A67" i="9"/>
  <c r="A68" i="9"/>
  <c r="A70" i="9"/>
  <c r="A71" i="9"/>
  <c r="A72" i="9"/>
  <c r="A73" i="9"/>
  <c r="A76" i="8"/>
  <c r="A77" i="8"/>
  <c r="A78" i="8"/>
  <c r="A65" i="8"/>
  <c r="A66" i="8"/>
  <c r="A67" i="8"/>
  <c r="A68" i="8"/>
  <c r="A70" i="8"/>
  <c r="A71" i="8"/>
  <c r="A72" i="8"/>
  <c r="A73" i="8"/>
  <c r="A75" i="8"/>
  <c r="A61" i="8"/>
  <c r="A62" i="8"/>
  <c r="A63" i="8"/>
  <c r="A60" i="8"/>
  <c r="Z22" i="5" l="1"/>
  <c r="Z107" i="5" s="1"/>
  <c r="B68" i="11" s="1"/>
  <c r="B69" i="11" s="1"/>
  <c r="Y22" i="5"/>
  <c r="Y107" i="5" s="1"/>
  <c r="C68" i="11" s="1"/>
  <c r="C69" i="11" s="1"/>
  <c r="X22" i="5"/>
  <c r="X107" i="5" s="1"/>
  <c r="D68" i="11" s="1"/>
  <c r="D69" i="11" s="1"/>
  <c r="W22" i="5"/>
  <c r="W107" i="5" s="1"/>
  <c r="E68" i="11" s="1"/>
  <c r="E69" i="11" s="1"/>
  <c r="V22" i="5"/>
  <c r="V107" i="5" s="1"/>
  <c r="F68" i="11" s="1"/>
  <c r="F69" i="11" s="1"/>
  <c r="U22" i="5"/>
  <c r="U107" i="5" s="1"/>
  <c r="G68" i="11" s="1"/>
  <c r="G69" i="11" s="1"/>
  <c r="T22" i="5"/>
  <c r="T107" i="5" s="1"/>
  <c r="H68" i="11" s="1"/>
  <c r="H69" i="11" s="1"/>
  <c r="S22" i="5"/>
  <c r="S107" i="5" s="1"/>
  <c r="I68" i="11" s="1"/>
  <c r="I69" i="11" s="1"/>
  <c r="R22" i="5"/>
  <c r="R107" i="5" s="1"/>
  <c r="Q22" i="5"/>
  <c r="Q107" i="5" s="1"/>
  <c r="J68" i="11" s="1"/>
  <c r="J69" i="11" s="1"/>
  <c r="P22" i="5"/>
  <c r="P107" i="5" s="1"/>
  <c r="K68" i="11" s="1"/>
  <c r="K69" i="11" s="1"/>
  <c r="O22" i="5"/>
  <c r="O107" i="5" s="1"/>
  <c r="L68" i="11" s="1"/>
  <c r="L69" i="11" s="1"/>
  <c r="N22" i="5"/>
  <c r="N107" i="5" s="1"/>
  <c r="M68" i="11" s="1"/>
  <c r="M69" i="11" s="1"/>
  <c r="M22" i="5"/>
  <c r="M107" i="5" s="1"/>
  <c r="N68" i="11" s="1"/>
  <c r="N69" i="11" s="1"/>
  <c r="L22" i="5"/>
  <c r="L107" i="5" s="1"/>
  <c r="O68" i="11" s="1"/>
  <c r="O69" i="11" s="1"/>
  <c r="K22" i="5"/>
  <c r="K107" i="5" s="1"/>
  <c r="P68" i="11" s="1"/>
  <c r="P69" i="11" s="1"/>
  <c r="J22" i="5"/>
  <c r="J107" i="5" s="1"/>
  <c r="Q68" i="11" s="1"/>
  <c r="Q69" i="11" s="1"/>
  <c r="I22" i="5"/>
  <c r="I107" i="5" s="1"/>
  <c r="R68" i="11" s="1"/>
  <c r="R69" i="11" s="1"/>
  <c r="H22" i="5"/>
  <c r="H107" i="5" s="1"/>
  <c r="S68" i="11" s="1"/>
  <c r="S69" i="11" s="1"/>
  <c r="G22" i="5"/>
  <c r="G107" i="5" s="1"/>
  <c r="T68" i="11" s="1"/>
  <c r="T69" i="11" s="1"/>
  <c r="F22" i="5"/>
  <c r="F107" i="5" s="1"/>
  <c r="U68" i="11" s="1"/>
  <c r="U69" i="11" s="1"/>
  <c r="E22" i="5"/>
  <c r="E107" i="5" s="1"/>
  <c r="V68" i="11" s="1"/>
  <c r="V69" i="11" s="1"/>
  <c r="D22" i="5"/>
  <c r="D107" i="5" s="1"/>
  <c r="W68" i="11" s="1"/>
  <c r="W69" i="11" s="1"/>
  <c r="F105" i="5" l="1"/>
  <c r="U81" i="10" s="1"/>
  <c r="F104" i="5"/>
  <c r="U80" i="10" s="1"/>
  <c r="H105" i="5"/>
  <c r="S81" i="10" s="1"/>
  <c r="H104" i="5"/>
  <c r="S80" i="10" s="1"/>
  <c r="J105" i="5"/>
  <c r="Q81" i="10" s="1"/>
  <c r="J104" i="5"/>
  <c r="Q80" i="10" s="1"/>
  <c r="Q45" i="11"/>
  <c r="L105" i="5"/>
  <c r="O81" i="10" s="1"/>
  <c r="L104" i="5"/>
  <c r="O80" i="10" s="1"/>
  <c r="N105" i="5"/>
  <c r="M81" i="10" s="1"/>
  <c r="N104" i="5"/>
  <c r="M80" i="10" s="1"/>
  <c r="P105" i="5"/>
  <c r="K81" i="10" s="1"/>
  <c r="P104" i="5"/>
  <c r="K80" i="10" s="1"/>
  <c r="R105" i="5"/>
  <c r="R104" i="5"/>
  <c r="T105" i="5"/>
  <c r="H81" i="10" s="1"/>
  <c r="T104" i="5"/>
  <c r="H80" i="10" s="1"/>
  <c r="V105" i="5"/>
  <c r="F81" i="10" s="1"/>
  <c r="V104" i="5"/>
  <c r="F80" i="10" s="1"/>
  <c r="X105" i="5"/>
  <c r="D81" i="10" s="1"/>
  <c r="X104" i="5"/>
  <c r="D80" i="10" s="1"/>
  <c r="Z104" i="5"/>
  <c r="B80" i="10" s="1"/>
  <c r="Z105" i="5"/>
  <c r="B81" i="10" s="1"/>
  <c r="D105" i="5"/>
  <c r="W81" i="10" s="1"/>
  <c r="D104" i="5"/>
  <c r="W80" i="10" s="1"/>
  <c r="E105" i="5"/>
  <c r="V81" i="10" s="1"/>
  <c r="E104" i="5"/>
  <c r="V80" i="10" s="1"/>
  <c r="G105" i="5"/>
  <c r="T81" i="10" s="1"/>
  <c r="G104" i="5"/>
  <c r="T80" i="10" s="1"/>
  <c r="R45" i="11"/>
  <c r="I105" i="5"/>
  <c r="R81" i="10" s="1"/>
  <c r="I104" i="5"/>
  <c r="R80" i="10" s="1"/>
  <c r="P45" i="11"/>
  <c r="K105" i="5"/>
  <c r="P81" i="10" s="1"/>
  <c r="K104" i="5"/>
  <c r="P80" i="10" s="1"/>
  <c r="M105" i="5"/>
  <c r="N81" i="10" s="1"/>
  <c r="M104" i="5"/>
  <c r="N80" i="10" s="1"/>
  <c r="O105" i="5"/>
  <c r="L81" i="10" s="1"/>
  <c r="O104" i="5"/>
  <c r="L80" i="10" s="1"/>
  <c r="Q105" i="5"/>
  <c r="J81" i="10" s="1"/>
  <c r="Q104" i="5"/>
  <c r="J80" i="10" s="1"/>
  <c r="S105" i="5"/>
  <c r="I81" i="10" s="1"/>
  <c r="S104" i="5"/>
  <c r="I80" i="10" s="1"/>
  <c r="U105" i="5"/>
  <c r="G81" i="10" s="1"/>
  <c r="U104" i="5"/>
  <c r="G80" i="10" s="1"/>
  <c r="W105" i="5"/>
  <c r="E81" i="10" s="1"/>
  <c r="W104" i="5"/>
  <c r="E80" i="10" s="1"/>
  <c r="Y105" i="5"/>
  <c r="C81" i="10" s="1"/>
  <c r="Y104" i="5"/>
  <c r="C80" i="10" s="1"/>
  <c r="W45" i="11"/>
  <c r="D96" i="5"/>
  <c r="W76" i="9" s="1"/>
  <c r="D97" i="5"/>
  <c r="W77" i="9" s="1"/>
  <c r="D98" i="5"/>
  <c r="W78" i="9" s="1"/>
  <c r="D99" i="5"/>
  <c r="W79" i="9" s="1"/>
  <c r="D100" i="5"/>
  <c r="W80" i="9" s="1"/>
  <c r="D101" i="5"/>
  <c r="W81" i="9" s="1"/>
  <c r="V45" i="11"/>
  <c r="E96" i="5"/>
  <c r="V76" i="9" s="1"/>
  <c r="E97" i="5"/>
  <c r="V77" i="9" s="1"/>
  <c r="E98" i="5"/>
  <c r="V78" i="9" s="1"/>
  <c r="E99" i="5"/>
  <c r="V79" i="9" s="1"/>
  <c r="E100" i="5"/>
  <c r="V80" i="9" s="1"/>
  <c r="E101" i="5"/>
  <c r="V81" i="9" s="1"/>
  <c r="T45" i="11"/>
  <c r="G96" i="5"/>
  <c r="T76" i="9" s="1"/>
  <c r="G97" i="5"/>
  <c r="T77" i="9" s="1"/>
  <c r="G98" i="5"/>
  <c r="T78" i="9" s="1"/>
  <c r="G99" i="5"/>
  <c r="T79" i="9" s="1"/>
  <c r="G100" i="5"/>
  <c r="T80" i="9" s="1"/>
  <c r="G101" i="5"/>
  <c r="T81" i="9" s="1"/>
  <c r="I96" i="5"/>
  <c r="R76" i="9" s="1"/>
  <c r="I97" i="5"/>
  <c r="R77" i="9" s="1"/>
  <c r="I98" i="5"/>
  <c r="R78" i="9" s="1"/>
  <c r="I99" i="5"/>
  <c r="R79" i="9" s="1"/>
  <c r="I100" i="5"/>
  <c r="R80" i="9" s="1"/>
  <c r="I101" i="5"/>
  <c r="R81" i="9" s="1"/>
  <c r="K96" i="5"/>
  <c r="P76" i="9" s="1"/>
  <c r="K97" i="5"/>
  <c r="P77" i="9" s="1"/>
  <c r="K98" i="5"/>
  <c r="P78" i="9" s="1"/>
  <c r="K99" i="5"/>
  <c r="P79" i="9" s="1"/>
  <c r="K100" i="5"/>
  <c r="P80" i="9" s="1"/>
  <c r="K101" i="5"/>
  <c r="P81" i="9" s="1"/>
  <c r="N45" i="11"/>
  <c r="M96" i="5"/>
  <c r="N76" i="9" s="1"/>
  <c r="M97" i="5"/>
  <c r="N77" i="9" s="1"/>
  <c r="M98" i="5"/>
  <c r="N78" i="9" s="1"/>
  <c r="M99" i="5"/>
  <c r="N79" i="9" s="1"/>
  <c r="M100" i="5"/>
  <c r="N80" i="9" s="1"/>
  <c r="M101" i="5"/>
  <c r="N81" i="9" s="1"/>
  <c r="L45" i="11"/>
  <c r="O96" i="5"/>
  <c r="L76" i="9" s="1"/>
  <c r="O97" i="5"/>
  <c r="L77" i="9" s="1"/>
  <c r="O98" i="5"/>
  <c r="L78" i="9" s="1"/>
  <c r="O99" i="5"/>
  <c r="L79" i="9" s="1"/>
  <c r="O100" i="5"/>
  <c r="L80" i="9" s="1"/>
  <c r="O101" i="5"/>
  <c r="L81" i="9" s="1"/>
  <c r="J45" i="11"/>
  <c r="Q96" i="5"/>
  <c r="J76" i="9" s="1"/>
  <c r="Q97" i="5"/>
  <c r="J77" i="9" s="1"/>
  <c r="Q98" i="5"/>
  <c r="J78" i="9" s="1"/>
  <c r="Q99" i="5"/>
  <c r="J79" i="9" s="1"/>
  <c r="Q100" i="5"/>
  <c r="J80" i="9" s="1"/>
  <c r="Q101" i="5"/>
  <c r="J81" i="9" s="1"/>
  <c r="I45" i="11"/>
  <c r="S96" i="5"/>
  <c r="I76" i="9" s="1"/>
  <c r="S97" i="5"/>
  <c r="I77" i="9" s="1"/>
  <c r="S98" i="5"/>
  <c r="I78" i="9" s="1"/>
  <c r="S99" i="5"/>
  <c r="I79" i="9" s="1"/>
  <c r="S100" i="5"/>
  <c r="I80" i="9" s="1"/>
  <c r="S101" i="5"/>
  <c r="I81" i="9" s="1"/>
  <c r="G45" i="11"/>
  <c r="U96" i="5"/>
  <c r="G76" i="9" s="1"/>
  <c r="U97" i="5"/>
  <c r="G77" i="9" s="1"/>
  <c r="U98" i="5"/>
  <c r="G78" i="9" s="1"/>
  <c r="U99" i="5"/>
  <c r="G79" i="9" s="1"/>
  <c r="U100" i="5"/>
  <c r="G80" i="9" s="1"/>
  <c r="U101" i="5"/>
  <c r="G81" i="9" s="1"/>
  <c r="E45" i="11"/>
  <c r="W96" i="5"/>
  <c r="E76" i="9" s="1"/>
  <c r="W97" i="5"/>
  <c r="E77" i="9" s="1"/>
  <c r="W98" i="5"/>
  <c r="E78" i="9" s="1"/>
  <c r="W99" i="5"/>
  <c r="E79" i="9" s="1"/>
  <c r="W100" i="5"/>
  <c r="E80" i="9" s="1"/>
  <c r="W101" i="5"/>
  <c r="E81" i="9" s="1"/>
  <c r="C45" i="11"/>
  <c r="Y96" i="5"/>
  <c r="C76" i="9" s="1"/>
  <c r="Y97" i="5"/>
  <c r="C77" i="9" s="1"/>
  <c r="Y98" i="5"/>
  <c r="C78" i="9" s="1"/>
  <c r="Y99" i="5"/>
  <c r="C79" i="9" s="1"/>
  <c r="Y100" i="5"/>
  <c r="C80" i="9" s="1"/>
  <c r="Y101" i="5"/>
  <c r="C81" i="9" s="1"/>
  <c r="U45" i="11"/>
  <c r="F96" i="5"/>
  <c r="U76" i="9" s="1"/>
  <c r="F97" i="5"/>
  <c r="U77" i="9" s="1"/>
  <c r="F98" i="5"/>
  <c r="U78" i="9" s="1"/>
  <c r="F99" i="5"/>
  <c r="U79" i="9" s="1"/>
  <c r="F100" i="5"/>
  <c r="U80" i="9" s="1"/>
  <c r="F101" i="5"/>
  <c r="U81" i="9" s="1"/>
  <c r="S45" i="11"/>
  <c r="H96" i="5"/>
  <c r="S76" i="9" s="1"/>
  <c r="H97" i="5"/>
  <c r="S77" i="9" s="1"/>
  <c r="H98" i="5"/>
  <c r="S78" i="9" s="1"/>
  <c r="H99" i="5"/>
  <c r="S79" i="9" s="1"/>
  <c r="H100" i="5"/>
  <c r="S80" i="9" s="1"/>
  <c r="H101" i="5"/>
  <c r="S81" i="9" s="1"/>
  <c r="J96" i="5"/>
  <c r="Q76" i="9" s="1"/>
  <c r="J97" i="5"/>
  <c r="Q77" i="9" s="1"/>
  <c r="J98" i="5"/>
  <c r="Q78" i="9" s="1"/>
  <c r="J99" i="5"/>
  <c r="Q79" i="9" s="1"/>
  <c r="J100" i="5"/>
  <c r="Q80" i="9" s="1"/>
  <c r="J101" i="5"/>
  <c r="Q81" i="9" s="1"/>
  <c r="O45" i="11"/>
  <c r="L96" i="5"/>
  <c r="O76" i="9" s="1"/>
  <c r="L97" i="5"/>
  <c r="O77" i="9" s="1"/>
  <c r="L98" i="5"/>
  <c r="O78" i="9" s="1"/>
  <c r="L99" i="5"/>
  <c r="O79" i="9" s="1"/>
  <c r="L100" i="5"/>
  <c r="O80" i="9" s="1"/>
  <c r="L101" i="5"/>
  <c r="O81" i="9" s="1"/>
  <c r="M45" i="11"/>
  <c r="N96" i="5"/>
  <c r="M76" i="9" s="1"/>
  <c r="N97" i="5"/>
  <c r="M77" i="9" s="1"/>
  <c r="D52" i="9" s="1"/>
  <c r="N98" i="5"/>
  <c r="M78" i="9" s="1"/>
  <c r="D53" i="9" s="1"/>
  <c r="N99" i="5"/>
  <c r="M79" i="9" s="1"/>
  <c r="N100" i="5"/>
  <c r="M80" i="9" s="1"/>
  <c r="I52" i="9" s="1"/>
  <c r="N101" i="5"/>
  <c r="M81" i="9" s="1"/>
  <c r="I53" i="9" s="1"/>
  <c r="K45" i="11"/>
  <c r="P96" i="5"/>
  <c r="K76" i="9" s="1"/>
  <c r="P97" i="5"/>
  <c r="K77" i="9" s="1"/>
  <c r="P98" i="5"/>
  <c r="K78" i="9" s="1"/>
  <c r="P99" i="5"/>
  <c r="K79" i="9" s="1"/>
  <c r="P100" i="5"/>
  <c r="K80" i="9" s="1"/>
  <c r="P101" i="5"/>
  <c r="K81" i="9" s="1"/>
  <c r="R96" i="5"/>
  <c r="R97" i="5"/>
  <c r="R98" i="5"/>
  <c r="R99" i="5"/>
  <c r="R100" i="5"/>
  <c r="R101" i="5"/>
  <c r="H45" i="11"/>
  <c r="T96" i="5"/>
  <c r="H76" i="9" s="1"/>
  <c r="T97" i="5"/>
  <c r="H77" i="9" s="1"/>
  <c r="T98" i="5"/>
  <c r="H78" i="9" s="1"/>
  <c r="T99" i="5"/>
  <c r="H79" i="9" s="1"/>
  <c r="T100" i="5"/>
  <c r="H80" i="9" s="1"/>
  <c r="T101" i="5"/>
  <c r="H81" i="9" s="1"/>
  <c r="F45" i="11"/>
  <c r="V96" i="5"/>
  <c r="F76" i="9" s="1"/>
  <c r="V97" i="5"/>
  <c r="F77" i="9" s="1"/>
  <c r="V98" i="5"/>
  <c r="F78" i="9" s="1"/>
  <c r="V99" i="5"/>
  <c r="F79" i="9" s="1"/>
  <c r="V100" i="5"/>
  <c r="F80" i="9" s="1"/>
  <c r="V101" i="5"/>
  <c r="F81" i="9" s="1"/>
  <c r="D45" i="11"/>
  <c r="X96" i="5"/>
  <c r="D76" i="9" s="1"/>
  <c r="X97" i="5"/>
  <c r="D77" i="9" s="1"/>
  <c r="X98" i="5"/>
  <c r="D78" i="9" s="1"/>
  <c r="X99" i="5"/>
  <c r="D79" i="9" s="1"/>
  <c r="X100" i="5"/>
  <c r="D80" i="9" s="1"/>
  <c r="X101" i="5"/>
  <c r="D81" i="9" s="1"/>
  <c r="B45" i="11"/>
  <c r="Z96" i="5"/>
  <c r="B76" i="9" s="1"/>
  <c r="Z97" i="5"/>
  <c r="B77" i="9" s="1"/>
  <c r="Z98" i="5"/>
  <c r="B78" i="9" s="1"/>
  <c r="Z99" i="5"/>
  <c r="B79" i="9" s="1"/>
  <c r="Z100" i="5"/>
  <c r="B80" i="9" s="1"/>
  <c r="Z101" i="5"/>
  <c r="B81" i="9" s="1"/>
  <c r="D38" i="11"/>
  <c r="V59" i="8"/>
  <c r="V59" i="10"/>
  <c r="V59" i="9"/>
  <c r="T59" i="8"/>
  <c r="T59" i="10"/>
  <c r="T59" i="9"/>
  <c r="P59" i="8"/>
  <c r="P59" i="10"/>
  <c r="P59" i="9"/>
  <c r="N59" i="8"/>
  <c r="N59" i="10"/>
  <c r="N59" i="9"/>
  <c r="W59" i="8"/>
  <c r="W59" i="10"/>
  <c r="W59" i="9"/>
  <c r="U59" i="8"/>
  <c r="U59" i="10"/>
  <c r="U59" i="9"/>
  <c r="S59" i="8"/>
  <c r="S59" i="10"/>
  <c r="S59" i="9"/>
  <c r="Q59" i="8"/>
  <c r="Q59" i="10"/>
  <c r="Q59" i="9"/>
  <c r="O59" i="8"/>
  <c r="O59" i="10"/>
  <c r="O59" i="9"/>
  <c r="M59" i="8"/>
  <c r="M59" i="10"/>
  <c r="M59" i="9"/>
  <c r="K59" i="8"/>
  <c r="K59" i="10"/>
  <c r="K59" i="9"/>
  <c r="H59" i="8"/>
  <c r="H59" i="10"/>
  <c r="H59" i="9"/>
  <c r="F59" i="8"/>
  <c r="F59" i="10"/>
  <c r="F59" i="9"/>
  <c r="D59" i="8"/>
  <c r="D59" i="10"/>
  <c r="D59" i="9"/>
  <c r="B59" i="8"/>
  <c r="B59" i="10"/>
  <c r="B59" i="9"/>
  <c r="R59" i="8"/>
  <c r="R59" i="10"/>
  <c r="R59" i="9"/>
  <c r="L59" i="8"/>
  <c r="L59" i="10"/>
  <c r="L59" i="9"/>
  <c r="J59" i="8"/>
  <c r="J59" i="10"/>
  <c r="J59" i="9"/>
  <c r="I59" i="8"/>
  <c r="I59" i="10"/>
  <c r="I59" i="9"/>
  <c r="G59" i="8"/>
  <c r="G59" i="10"/>
  <c r="G59" i="9"/>
  <c r="E59" i="8"/>
  <c r="E59" i="10"/>
  <c r="E59" i="9"/>
  <c r="C59" i="8"/>
  <c r="C59" i="10"/>
  <c r="C59" i="9"/>
  <c r="F28" i="5"/>
  <c r="F29" i="5"/>
  <c r="F30" i="5"/>
  <c r="F32" i="5"/>
  <c r="F33" i="5"/>
  <c r="F34" i="5"/>
  <c r="F36" i="5"/>
  <c r="F37" i="5"/>
  <c r="F38" i="5"/>
  <c r="F40" i="5"/>
  <c r="F41" i="5"/>
  <c r="F42" i="5"/>
  <c r="F45" i="5"/>
  <c r="U60" i="9" s="1"/>
  <c r="F46" i="5"/>
  <c r="F47" i="5"/>
  <c r="U62" i="9" s="1"/>
  <c r="F49" i="5"/>
  <c r="U65" i="9" s="1"/>
  <c r="F50" i="5"/>
  <c r="F51" i="5"/>
  <c r="U67" i="9" s="1"/>
  <c r="F53" i="5"/>
  <c r="U70" i="9" s="1"/>
  <c r="F54" i="5"/>
  <c r="F55" i="5"/>
  <c r="U72" i="9" s="1"/>
  <c r="F58" i="5"/>
  <c r="U64" i="11" s="1"/>
  <c r="F59" i="5"/>
  <c r="F60" i="5"/>
  <c r="U66" i="11" s="1"/>
  <c r="F63" i="5"/>
  <c r="U46" i="11" s="1"/>
  <c r="F64" i="5"/>
  <c r="F65" i="5"/>
  <c r="U48" i="11" s="1"/>
  <c r="F68" i="5"/>
  <c r="F69" i="5"/>
  <c r="F70" i="5"/>
  <c r="F72" i="5"/>
  <c r="F73" i="5"/>
  <c r="F74" i="5"/>
  <c r="F76" i="5"/>
  <c r="F77" i="5"/>
  <c r="F78" i="5"/>
  <c r="F80" i="5"/>
  <c r="F81" i="5"/>
  <c r="F82" i="5"/>
  <c r="F85" i="5"/>
  <c r="U52" i="11" s="1"/>
  <c r="F86" i="5"/>
  <c r="F87" i="5"/>
  <c r="U54" i="11" s="1"/>
  <c r="F90" i="5"/>
  <c r="U58" i="11" s="1"/>
  <c r="F91" i="5"/>
  <c r="F92" i="5"/>
  <c r="U60" i="11" s="1"/>
  <c r="H28" i="5"/>
  <c r="H29" i="5"/>
  <c r="H30" i="5"/>
  <c r="H32" i="5"/>
  <c r="H33" i="5"/>
  <c r="H34" i="5"/>
  <c r="H36" i="5"/>
  <c r="H37" i="5"/>
  <c r="H38" i="5"/>
  <c r="H40" i="5"/>
  <c r="H41" i="5"/>
  <c r="H42" i="5"/>
  <c r="H45" i="5"/>
  <c r="S60" i="9" s="1"/>
  <c r="H46" i="5"/>
  <c r="H47" i="5"/>
  <c r="S62" i="9" s="1"/>
  <c r="H49" i="5"/>
  <c r="S65" i="9" s="1"/>
  <c r="H50" i="5"/>
  <c r="H51" i="5"/>
  <c r="S67" i="9" s="1"/>
  <c r="H53" i="5"/>
  <c r="S70" i="9" s="1"/>
  <c r="H54" i="5"/>
  <c r="H55" i="5"/>
  <c r="S72" i="9" s="1"/>
  <c r="H58" i="5"/>
  <c r="S64" i="11" s="1"/>
  <c r="H59" i="5"/>
  <c r="H60" i="5"/>
  <c r="S66" i="11" s="1"/>
  <c r="H63" i="5"/>
  <c r="S46" i="11" s="1"/>
  <c r="H64" i="5"/>
  <c r="H65" i="5"/>
  <c r="S48" i="11" s="1"/>
  <c r="H68" i="5"/>
  <c r="H69" i="5"/>
  <c r="H70" i="5"/>
  <c r="H72" i="5"/>
  <c r="H73" i="5"/>
  <c r="H74" i="5"/>
  <c r="H76" i="5"/>
  <c r="H77" i="5"/>
  <c r="H78" i="5"/>
  <c r="H80" i="5"/>
  <c r="H81" i="5"/>
  <c r="H82" i="5"/>
  <c r="H85" i="5"/>
  <c r="S52" i="11" s="1"/>
  <c r="H86" i="5"/>
  <c r="H87" i="5"/>
  <c r="S54" i="11" s="1"/>
  <c r="H90" i="5"/>
  <c r="S58" i="11" s="1"/>
  <c r="H91" i="5"/>
  <c r="H92" i="5"/>
  <c r="S60" i="11" s="1"/>
  <c r="J28" i="5"/>
  <c r="J29" i="5"/>
  <c r="J30" i="5"/>
  <c r="J32" i="5"/>
  <c r="J33" i="5"/>
  <c r="J34" i="5"/>
  <c r="J36" i="5"/>
  <c r="J37" i="5"/>
  <c r="J38" i="5"/>
  <c r="J40" i="5"/>
  <c r="J41" i="5"/>
  <c r="J42" i="5"/>
  <c r="J45" i="5"/>
  <c r="Q60" i="9" s="1"/>
  <c r="J46" i="5"/>
  <c r="J47" i="5"/>
  <c r="Q62" i="9" s="1"/>
  <c r="J49" i="5"/>
  <c r="Q65" i="9" s="1"/>
  <c r="J50" i="5"/>
  <c r="J51" i="5"/>
  <c r="Q67" i="9" s="1"/>
  <c r="J53" i="5"/>
  <c r="Q70" i="9" s="1"/>
  <c r="J54" i="5"/>
  <c r="J55" i="5"/>
  <c r="Q72" i="9" s="1"/>
  <c r="J58" i="5"/>
  <c r="Q64" i="11" s="1"/>
  <c r="J59" i="5"/>
  <c r="J60" i="5"/>
  <c r="Q66" i="11" s="1"/>
  <c r="J63" i="5"/>
  <c r="Q46" i="11" s="1"/>
  <c r="J64" i="5"/>
  <c r="J65" i="5"/>
  <c r="Q48" i="11" s="1"/>
  <c r="J68" i="5"/>
  <c r="J69" i="5"/>
  <c r="J70" i="5"/>
  <c r="J72" i="5"/>
  <c r="J73" i="5"/>
  <c r="J74" i="5"/>
  <c r="J76" i="5"/>
  <c r="J77" i="5"/>
  <c r="J78" i="5"/>
  <c r="J80" i="5"/>
  <c r="J81" i="5"/>
  <c r="J82" i="5"/>
  <c r="J85" i="5"/>
  <c r="Q52" i="11" s="1"/>
  <c r="J86" i="5"/>
  <c r="J87" i="5"/>
  <c r="Q54" i="11" s="1"/>
  <c r="J90" i="5"/>
  <c r="Q58" i="11" s="1"/>
  <c r="J91" i="5"/>
  <c r="J92" i="5"/>
  <c r="Q60" i="11" s="1"/>
  <c r="L28" i="5"/>
  <c r="L29" i="5"/>
  <c r="L30" i="5"/>
  <c r="L32" i="5"/>
  <c r="L33" i="5"/>
  <c r="L34" i="5"/>
  <c r="L36" i="5"/>
  <c r="L37" i="5"/>
  <c r="L38" i="5"/>
  <c r="L40" i="5"/>
  <c r="L41" i="5"/>
  <c r="L42" i="5"/>
  <c r="L45" i="5"/>
  <c r="O60" i="9" s="1"/>
  <c r="L46" i="5"/>
  <c r="L47" i="5"/>
  <c r="O62" i="9" s="1"/>
  <c r="L49" i="5"/>
  <c r="O65" i="9" s="1"/>
  <c r="L50" i="5"/>
  <c r="L51" i="5"/>
  <c r="O67" i="9" s="1"/>
  <c r="L53" i="5"/>
  <c r="O70" i="9" s="1"/>
  <c r="L54" i="5"/>
  <c r="L55" i="5"/>
  <c r="O72" i="9" s="1"/>
  <c r="L58" i="5"/>
  <c r="O64" i="11" s="1"/>
  <c r="L59" i="5"/>
  <c r="L60" i="5"/>
  <c r="O66" i="11" s="1"/>
  <c r="L63" i="5"/>
  <c r="O46" i="11" s="1"/>
  <c r="L64" i="5"/>
  <c r="L65" i="5"/>
  <c r="O48" i="11" s="1"/>
  <c r="L68" i="5"/>
  <c r="L69" i="5"/>
  <c r="L70" i="5"/>
  <c r="L72" i="5"/>
  <c r="L73" i="5"/>
  <c r="L74" i="5"/>
  <c r="L76" i="5"/>
  <c r="L77" i="5"/>
  <c r="L78" i="5"/>
  <c r="L80" i="5"/>
  <c r="L81" i="5"/>
  <c r="L82" i="5"/>
  <c r="L85" i="5"/>
  <c r="O52" i="11" s="1"/>
  <c r="L86" i="5"/>
  <c r="L87" i="5"/>
  <c r="O54" i="11" s="1"/>
  <c r="L90" i="5"/>
  <c r="O58" i="11" s="1"/>
  <c r="L91" i="5"/>
  <c r="L92" i="5"/>
  <c r="O60" i="11" s="1"/>
  <c r="N28" i="5"/>
  <c r="N29" i="5"/>
  <c r="N30" i="5"/>
  <c r="N32" i="5"/>
  <c r="N33" i="5"/>
  <c r="N34" i="5"/>
  <c r="N36" i="5"/>
  <c r="N37" i="5"/>
  <c r="N38" i="5"/>
  <c r="N40" i="5"/>
  <c r="N41" i="5"/>
  <c r="N42" i="5"/>
  <c r="N45" i="5"/>
  <c r="M60" i="9" s="1"/>
  <c r="D38" i="9" s="1"/>
  <c r="D18" i="6" s="1"/>
  <c r="R25" i="6" s="1"/>
  <c r="N46" i="5"/>
  <c r="N47" i="5"/>
  <c r="M62" i="9" s="1"/>
  <c r="N49" i="5"/>
  <c r="M65" i="9" s="1"/>
  <c r="D46" i="9" s="1"/>
  <c r="N50" i="5"/>
  <c r="N51" i="5"/>
  <c r="M67" i="9" s="1"/>
  <c r="N53" i="5"/>
  <c r="M70" i="9" s="1"/>
  <c r="I46" i="9" s="1"/>
  <c r="N54" i="5"/>
  <c r="N55" i="5"/>
  <c r="M72" i="9" s="1"/>
  <c r="N58" i="5"/>
  <c r="M64" i="11" s="1"/>
  <c r="N59" i="5"/>
  <c r="N60" i="5"/>
  <c r="M66" i="11" s="1"/>
  <c r="N63" i="5"/>
  <c r="M46" i="11" s="1"/>
  <c r="D39" i="11" s="1"/>
  <c r="D25" i="6" s="1"/>
  <c r="R27" i="6" s="1"/>
  <c r="N64" i="5"/>
  <c r="N65" i="5"/>
  <c r="M48" i="11" s="1"/>
  <c r="N68" i="5"/>
  <c r="N69" i="5"/>
  <c r="N70" i="5"/>
  <c r="N72" i="5"/>
  <c r="N73" i="5"/>
  <c r="N74" i="5"/>
  <c r="N76" i="5"/>
  <c r="N77" i="5"/>
  <c r="N78" i="5"/>
  <c r="N80" i="5"/>
  <c r="N81" i="5"/>
  <c r="N82" i="5"/>
  <c r="N85" i="5"/>
  <c r="M52" i="11" s="1"/>
  <c r="N39" i="11" s="1"/>
  <c r="I11" i="6" s="1"/>
  <c r="R29" i="6" s="1"/>
  <c r="N86" i="5"/>
  <c r="N87" i="5"/>
  <c r="M54" i="11" s="1"/>
  <c r="N90" i="5"/>
  <c r="M58" i="11" s="1"/>
  <c r="I39" i="11" s="1"/>
  <c r="I4" i="6" s="1"/>
  <c r="R28" i="6" s="1"/>
  <c r="N91" i="5"/>
  <c r="N92" i="5"/>
  <c r="M60" i="11" s="1"/>
  <c r="P28" i="5"/>
  <c r="P29" i="5"/>
  <c r="P30" i="5"/>
  <c r="P32" i="5"/>
  <c r="P33" i="5"/>
  <c r="P34" i="5"/>
  <c r="P36" i="5"/>
  <c r="P37" i="5"/>
  <c r="P38" i="5"/>
  <c r="P40" i="5"/>
  <c r="P41" i="5"/>
  <c r="P42" i="5"/>
  <c r="P45" i="5"/>
  <c r="K60" i="9" s="1"/>
  <c r="P46" i="5"/>
  <c r="P47" i="5"/>
  <c r="K62" i="9" s="1"/>
  <c r="P49" i="5"/>
  <c r="K65" i="9" s="1"/>
  <c r="P50" i="5"/>
  <c r="P51" i="5"/>
  <c r="K67" i="9" s="1"/>
  <c r="P53" i="5"/>
  <c r="K70" i="9" s="1"/>
  <c r="P54" i="5"/>
  <c r="P55" i="5"/>
  <c r="K72" i="9" s="1"/>
  <c r="P58" i="5"/>
  <c r="K64" i="11" s="1"/>
  <c r="P59" i="5"/>
  <c r="P60" i="5"/>
  <c r="K66" i="11" s="1"/>
  <c r="P63" i="5"/>
  <c r="K46" i="11" s="1"/>
  <c r="P64" i="5"/>
  <c r="P65" i="5"/>
  <c r="K48" i="11" s="1"/>
  <c r="P68" i="5"/>
  <c r="P69" i="5"/>
  <c r="P70" i="5"/>
  <c r="P72" i="5"/>
  <c r="P73" i="5"/>
  <c r="P74" i="5"/>
  <c r="P76" i="5"/>
  <c r="P77" i="5"/>
  <c r="P78" i="5"/>
  <c r="P80" i="5"/>
  <c r="P81" i="5"/>
  <c r="P82" i="5"/>
  <c r="P85" i="5"/>
  <c r="K52" i="11" s="1"/>
  <c r="P86" i="5"/>
  <c r="P87" i="5"/>
  <c r="K54" i="11" s="1"/>
  <c r="P90" i="5"/>
  <c r="K58" i="11" s="1"/>
  <c r="P91" i="5"/>
  <c r="P92" i="5"/>
  <c r="K60" i="11" s="1"/>
  <c r="R28" i="5"/>
  <c r="R29" i="5"/>
  <c r="R30" i="5"/>
  <c r="R32" i="5"/>
  <c r="R33" i="5"/>
  <c r="R34" i="5"/>
  <c r="R36" i="5"/>
  <c r="R37" i="5"/>
  <c r="R38" i="5"/>
  <c r="R40" i="5"/>
  <c r="R41" i="5"/>
  <c r="R42" i="5"/>
  <c r="R45" i="5"/>
  <c r="R46" i="5"/>
  <c r="R47" i="5"/>
  <c r="R49" i="5"/>
  <c r="R50" i="5"/>
  <c r="R51" i="5"/>
  <c r="R53" i="5"/>
  <c r="R54" i="5"/>
  <c r="R55" i="5"/>
  <c r="R58" i="5"/>
  <c r="R59" i="5"/>
  <c r="R60" i="5"/>
  <c r="R63" i="5"/>
  <c r="R64" i="5"/>
  <c r="R65" i="5"/>
  <c r="R68" i="5"/>
  <c r="R69" i="5"/>
  <c r="R70" i="5"/>
  <c r="R72" i="5"/>
  <c r="R73" i="5"/>
  <c r="R74" i="5"/>
  <c r="R76" i="5"/>
  <c r="R77" i="5"/>
  <c r="R78" i="5"/>
  <c r="R80" i="5"/>
  <c r="R81" i="5"/>
  <c r="R82" i="5"/>
  <c r="R85" i="5"/>
  <c r="R86" i="5"/>
  <c r="R87" i="5"/>
  <c r="R90" i="5"/>
  <c r="R91" i="5"/>
  <c r="R92" i="5"/>
  <c r="T28" i="5"/>
  <c r="T29" i="5"/>
  <c r="T30" i="5"/>
  <c r="T32" i="5"/>
  <c r="T33" i="5"/>
  <c r="T34" i="5"/>
  <c r="T36" i="5"/>
  <c r="T37" i="5"/>
  <c r="T38" i="5"/>
  <c r="T40" i="5"/>
  <c r="T41" i="5"/>
  <c r="T42" i="5"/>
  <c r="T45" i="5"/>
  <c r="H60" i="9" s="1"/>
  <c r="T46" i="5"/>
  <c r="T47" i="5"/>
  <c r="H62" i="9" s="1"/>
  <c r="T49" i="5"/>
  <c r="H65" i="9" s="1"/>
  <c r="T50" i="5"/>
  <c r="T51" i="5"/>
  <c r="H67" i="9" s="1"/>
  <c r="T53" i="5"/>
  <c r="H70" i="9" s="1"/>
  <c r="T54" i="5"/>
  <c r="T55" i="5"/>
  <c r="H72" i="9" s="1"/>
  <c r="T58" i="5"/>
  <c r="H64" i="11" s="1"/>
  <c r="T59" i="5"/>
  <c r="T60" i="5"/>
  <c r="H66" i="11" s="1"/>
  <c r="T63" i="5"/>
  <c r="H46" i="11" s="1"/>
  <c r="T64" i="5"/>
  <c r="T65" i="5"/>
  <c r="H48" i="11" s="1"/>
  <c r="T68" i="5"/>
  <c r="T69" i="5"/>
  <c r="T70" i="5"/>
  <c r="T72" i="5"/>
  <c r="T73" i="5"/>
  <c r="T74" i="5"/>
  <c r="T76" i="5"/>
  <c r="T77" i="5"/>
  <c r="T78" i="5"/>
  <c r="T80" i="5"/>
  <c r="T81" i="5"/>
  <c r="T82" i="5"/>
  <c r="T85" i="5"/>
  <c r="H52" i="11" s="1"/>
  <c r="T86" i="5"/>
  <c r="T87" i="5"/>
  <c r="H54" i="11" s="1"/>
  <c r="T90" i="5"/>
  <c r="H58" i="11" s="1"/>
  <c r="T91" i="5"/>
  <c r="T92" i="5"/>
  <c r="H60" i="11" s="1"/>
  <c r="V28" i="5"/>
  <c r="V29" i="5"/>
  <c r="V30" i="5"/>
  <c r="V32" i="5"/>
  <c r="V33" i="5"/>
  <c r="V34" i="5"/>
  <c r="V36" i="5"/>
  <c r="V37" i="5"/>
  <c r="V38" i="5"/>
  <c r="V40" i="5"/>
  <c r="V41" i="5"/>
  <c r="V42" i="5"/>
  <c r="V45" i="5"/>
  <c r="F60" i="9" s="1"/>
  <c r="V46" i="5"/>
  <c r="V47" i="5"/>
  <c r="F62" i="9" s="1"/>
  <c r="V49" i="5"/>
  <c r="F65" i="9" s="1"/>
  <c r="V50" i="5"/>
  <c r="V51" i="5"/>
  <c r="F67" i="9" s="1"/>
  <c r="V53" i="5"/>
  <c r="F70" i="9" s="1"/>
  <c r="V54" i="5"/>
  <c r="V55" i="5"/>
  <c r="F72" i="9" s="1"/>
  <c r="V58" i="5"/>
  <c r="F64" i="11" s="1"/>
  <c r="V59" i="5"/>
  <c r="V60" i="5"/>
  <c r="F66" i="11" s="1"/>
  <c r="V63" i="5"/>
  <c r="F46" i="11" s="1"/>
  <c r="V64" i="5"/>
  <c r="V65" i="5"/>
  <c r="F48" i="11" s="1"/>
  <c r="V68" i="5"/>
  <c r="V69" i="5"/>
  <c r="V70" i="5"/>
  <c r="V72" i="5"/>
  <c r="V73" i="5"/>
  <c r="V74" i="5"/>
  <c r="V76" i="5"/>
  <c r="V77" i="5"/>
  <c r="V78" i="5"/>
  <c r="V80" i="5"/>
  <c r="V81" i="5"/>
  <c r="V82" i="5"/>
  <c r="V85" i="5"/>
  <c r="F52" i="11" s="1"/>
  <c r="V86" i="5"/>
  <c r="V87" i="5"/>
  <c r="F54" i="11" s="1"/>
  <c r="V90" i="5"/>
  <c r="F58" i="11" s="1"/>
  <c r="V91" i="5"/>
  <c r="V92" i="5"/>
  <c r="F60" i="11" s="1"/>
  <c r="X23" i="5"/>
  <c r="D41" i="7" s="1"/>
  <c r="X28" i="5"/>
  <c r="X29" i="5"/>
  <c r="X30" i="5"/>
  <c r="X32" i="5"/>
  <c r="X33" i="5"/>
  <c r="X34" i="5"/>
  <c r="X36" i="5"/>
  <c r="X37" i="5"/>
  <c r="X38" i="5"/>
  <c r="X40" i="5"/>
  <c r="X41" i="5"/>
  <c r="X42" i="5"/>
  <c r="X45" i="5"/>
  <c r="D60" i="9" s="1"/>
  <c r="X46" i="5"/>
  <c r="X47" i="5"/>
  <c r="D62" i="9" s="1"/>
  <c r="X49" i="5"/>
  <c r="D65" i="9" s="1"/>
  <c r="X50" i="5"/>
  <c r="X51" i="5"/>
  <c r="D67" i="9" s="1"/>
  <c r="X53" i="5"/>
  <c r="D70" i="9" s="1"/>
  <c r="X54" i="5"/>
  <c r="X55" i="5"/>
  <c r="D72" i="9" s="1"/>
  <c r="X58" i="5"/>
  <c r="D64" i="11" s="1"/>
  <c r="X59" i="5"/>
  <c r="X60" i="5"/>
  <c r="D66" i="11" s="1"/>
  <c r="X63" i="5"/>
  <c r="D46" i="11" s="1"/>
  <c r="X64" i="5"/>
  <c r="X65" i="5"/>
  <c r="D48" i="11" s="1"/>
  <c r="X68" i="5"/>
  <c r="X69" i="5"/>
  <c r="X70" i="5"/>
  <c r="X72" i="5"/>
  <c r="X73" i="5"/>
  <c r="X74" i="5"/>
  <c r="X76" i="5"/>
  <c r="X77" i="5"/>
  <c r="X78" i="5"/>
  <c r="X80" i="5"/>
  <c r="X81" i="5"/>
  <c r="X82" i="5"/>
  <c r="X85" i="5"/>
  <c r="D52" i="11" s="1"/>
  <c r="X86" i="5"/>
  <c r="X87" i="5"/>
  <c r="D54" i="11" s="1"/>
  <c r="X90" i="5"/>
  <c r="D58" i="11" s="1"/>
  <c r="X91" i="5"/>
  <c r="X92" i="5"/>
  <c r="D60" i="11" s="1"/>
  <c r="Z23" i="5"/>
  <c r="B41" i="7" s="1"/>
  <c r="Z28" i="5"/>
  <c r="Z29" i="5"/>
  <c r="Z30" i="5"/>
  <c r="Z32" i="5"/>
  <c r="Z33" i="5"/>
  <c r="Z34" i="5"/>
  <c r="Z36" i="5"/>
  <c r="Z37" i="5"/>
  <c r="Z38" i="5"/>
  <c r="Z40" i="5"/>
  <c r="Z41" i="5"/>
  <c r="Z42" i="5"/>
  <c r="Z45" i="5"/>
  <c r="B60" i="9" s="1"/>
  <c r="Z46" i="5"/>
  <c r="Z47" i="5"/>
  <c r="B62" i="9" s="1"/>
  <c r="Z49" i="5"/>
  <c r="B65" i="9" s="1"/>
  <c r="Z50" i="5"/>
  <c r="Z51" i="5"/>
  <c r="B67" i="9" s="1"/>
  <c r="Z53" i="5"/>
  <c r="B70" i="9" s="1"/>
  <c r="Z54" i="5"/>
  <c r="Z55" i="5"/>
  <c r="B72" i="9" s="1"/>
  <c r="Z58" i="5"/>
  <c r="B64" i="11" s="1"/>
  <c r="Z59" i="5"/>
  <c r="Z60" i="5"/>
  <c r="B66" i="11" s="1"/>
  <c r="Z63" i="5"/>
  <c r="B46" i="11" s="1"/>
  <c r="Z64" i="5"/>
  <c r="Z65" i="5"/>
  <c r="B48" i="11" s="1"/>
  <c r="Z68" i="5"/>
  <c r="Z69" i="5"/>
  <c r="Z70" i="5"/>
  <c r="Z72" i="5"/>
  <c r="Z73" i="5"/>
  <c r="Z74" i="5"/>
  <c r="Z76" i="5"/>
  <c r="Z77" i="5"/>
  <c r="Z78" i="5"/>
  <c r="Z80" i="5"/>
  <c r="Z81" i="5"/>
  <c r="Z82" i="5"/>
  <c r="Z85" i="5"/>
  <c r="B52" i="11" s="1"/>
  <c r="Z86" i="5"/>
  <c r="Z87" i="5"/>
  <c r="B54" i="11" s="1"/>
  <c r="Z90" i="5"/>
  <c r="B58" i="11" s="1"/>
  <c r="Z91" i="5"/>
  <c r="Z92" i="5"/>
  <c r="B60" i="11" s="1"/>
  <c r="D28" i="5"/>
  <c r="D29" i="5"/>
  <c r="D30" i="5"/>
  <c r="D32" i="5"/>
  <c r="D33" i="5"/>
  <c r="D34" i="5"/>
  <c r="D36" i="5"/>
  <c r="D37" i="5"/>
  <c r="D38" i="5"/>
  <c r="D40" i="5"/>
  <c r="D41" i="5"/>
  <c r="D42" i="5"/>
  <c r="D45" i="5"/>
  <c r="W60" i="9" s="1"/>
  <c r="D46" i="5"/>
  <c r="D47" i="5"/>
  <c r="W62" i="9" s="1"/>
  <c r="D49" i="5"/>
  <c r="W65" i="9" s="1"/>
  <c r="D50" i="5"/>
  <c r="D51" i="5"/>
  <c r="W67" i="9" s="1"/>
  <c r="D53" i="5"/>
  <c r="W70" i="9" s="1"/>
  <c r="D54" i="5"/>
  <c r="D55" i="5"/>
  <c r="W72" i="9" s="1"/>
  <c r="D58" i="5"/>
  <c r="W64" i="11" s="1"/>
  <c r="D59" i="5"/>
  <c r="D60" i="5"/>
  <c r="W66" i="11" s="1"/>
  <c r="D63" i="5"/>
  <c r="W46" i="11" s="1"/>
  <c r="D64" i="5"/>
  <c r="D65" i="5"/>
  <c r="W48" i="11" s="1"/>
  <c r="D68" i="5"/>
  <c r="D69" i="5"/>
  <c r="D70" i="5"/>
  <c r="D72" i="5"/>
  <c r="D73" i="5"/>
  <c r="D74" i="5"/>
  <c r="D76" i="5"/>
  <c r="D77" i="5"/>
  <c r="D78" i="5"/>
  <c r="D80" i="5"/>
  <c r="D81" i="5"/>
  <c r="D82" i="5"/>
  <c r="D85" i="5"/>
  <c r="W52" i="11" s="1"/>
  <c r="D86" i="5"/>
  <c r="D87" i="5"/>
  <c r="W54" i="11" s="1"/>
  <c r="D90" i="5"/>
  <c r="W58" i="11" s="1"/>
  <c r="D91" i="5"/>
  <c r="D92" i="5"/>
  <c r="W60" i="11" s="1"/>
  <c r="E28" i="5"/>
  <c r="E29" i="5"/>
  <c r="E30" i="5"/>
  <c r="E32" i="5"/>
  <c r="E33" i="5"/>
  <c r="E34" i="5"/>
  <c r="E36" i="5"/>
  <c r="E37" i="5"/>
  <c r="E38" i="5"/>
  <c r="E40" i="5"/>
  <c r="E41" i="5"/>
  <c r="E42" i="5"/>
  <c r="E45" i="5"/>
  <c r="V60" i="9" s="1"/>
  <c r="E46" i="5"/>
  <c r="E47" i="5"/>
  <c r="V62" i="9" s="1"/>
  <c r="E49" i="5"/>
  <c r="V65" i="9" s="1"/>
  <c r="E50" i="5"/>
  <c r="E51" i="5"/>
  <c r="V67" i="9" s="1"/>
  <c r="E53" i="5"/>
  <c r="V70" i="9" s="1"/>
  <c r="E54" i="5"/>
  <c r="E55" i="5"/>
  <c r="V72" i="9" s="1"/>
  <c r="E58" i="5"/>
  <c r="V64" i="11" s="1"/>
  <c r="E59" i="5"/>
  <c r="E60" i="5"/>
  <c r="V66" i="11" s="1"/>
  <c r="E63" i="5"/>
  <c r="V46" i="11" s="1"/>
  <c r="E64" i="5"/>
  <c r="E65" i="5"/>
  <c r="V48" i="11" s="1"/>
  <c r="E68" i="5"/>
  <c r="E69" i="5"/>
  <c r="E70" i="5"/>
  <c r="E72" i="5"/>
  <c r="E73" i="5"/>
  <c r="E74" i="5"/>
  <c r="E76" i="5"/>
  <c r="E77" i="5"/>
  <c r="E78" i="5"/>
  <c r="E80" i="5"/>
  <c r="E81" i="5"/>
  <c r="E82" i="5"/>
  <c r="E85" i="5"/>
  <c r="V52" i="11" s="1"/>
  <c r="E86" i="5"/>
  <c r="E87" i="5"/>
  <c r="V54" i="11" s="1"/>
  <c r="E90" i="5"/>
  <c r="V58" i="11" s="1"/>
  <c r="E91" i="5"/>
  <c r="E92" i="5"/>
  <c r="V60" i="11" s="1"/>
  <c r="G28" i="5"/>
  <c r="G29" i="5"/>
  <c r="G30" i="5"/>
  <c r="G32" i="5"/>
  <c r="G33" i="5"/>
  <c r="G34" i="5"/>
  <c r="G36" i="5"/>
  <c r="G37" i="5"/>
  <c r="G38" i="5"/>
  <c r="G40" i="5"/>
  <c r="G41" i="5"/>
  <c r="G42" i="5"/>
  <c r="G45" i="5"/>
  <c r="T60" i="9" s="1"/>
  <c r="G46" i="5"/>
  <c r="G47" i="5"/>
  <c r="T62" i="9" s="1"/>
  <c r="G49" i="5"/>
  <c r="T65" i="9" s="1"/>
  <c r="G50" i="5"/>
  <c r="G51" i="5"/>
  <c r="T67" i="9" s="1"/>
  <c r="G53" i="5"/>
  <c r="T70" i="9" s="1"/>
  <c r="G54" i="5"/>
  <c r="G55" i="5"/>
  <c r="T72" i="9" s="1"/>
  <c r="G58" i="5"/>
  <c r="T64" i="11" s="1"/>
  <c r="G59" i="5"/>
  <c r="G60" i="5"/>
  <c r="T66" i="11" s="1"/>
  <c r="G63" i="5"/>
  <c r="T46" i="11" s="1"/>
  <c r="G64" i="5"/>
  <c r="G65" i="5"/>
  <c r="T48" i="11" s="1"/>
  <c r="G68" i="5"/>
  <c r="G69" i="5"/>
  <c r="G70" i="5"/>
  <c r="G72" i="5"/>
  <c r="G73" i="5"/>
  <c r="G74" i="5"/>
  <c r="G76" i="5"/>
  <c r="G77" i="5"/>
  <c r="G78" i="5"/>
  <c r="G80" i="5"/>
  <c r="G81" i="5"/>
  <c r="G82" i="5"/>
  <c r="G85" i="5"/>
  <c r="T52" i="11" s="1"/>
  <c r="G86" i="5"/>
  <c r="G87" i="5"/>
  <c r="T54" i="11" s="1"/>
  <c r="G90" i="5"/>
  <c r="T58" i="11" s="1"/>
  <c r="G91" i="5"/>
  <c r="G92" i="5"/>
  <c r="T60" i="11" s="1"/>
  <c r="I28" i="5"/>
  <c r="I29" i="5"/>
  <c r="I30" i="5"/>
  <c r="I32" i="5"/>
  <c r="I33" i="5"/>
  <c r="I34" i="5"/>
  <c r="I36" i="5"/>
  <c r="I37" i="5"/>
  <c r="I38" i="5"/>
  <c r="I40" i="5"/>
  <c r="I41" i="5"/>
  <c r="I42" i="5"/>
  <c r="I45" i="5"/>
  <c r="R60" i="9" s="1"/>
  <c r="I46" i="5"/>
  <c r="I47" i="5"/>
  <c r="R62" i="9" s="1"/>
  <c r="I49" i="5"/>
  <c r="R65" i="9" s="1"/>
  <c r="I50" i="5"/>
  <c r="I51" i="5"/>
  <c r="R67" i="9" s="1"/>
  <c r="I53" i="5"/>
  <c r="R70" i="9" s="1"/>
  <c r="I54" i="5"/>
  <c r="I55" i="5"/>
  <c r="R72" i="9" s="1"/>
  <c r="I58" i="5"/>
  <c r="R64" i="11" s="1"/>
  <c r="I59" i="5"/>
  <c r="I60" i="5"/>
  <c r="R66" i="11" s="1"/>
  <c r="I63" i="5"/>
  <c r="R46" i="11" s="1"/>
  <c r="I64" i="5"/>
  <c r="I65" i="5"/>
  <c r="R48" i="11" s="1"/>
  <c r="I68" i="5"/>
  <c r="I69" i="5"/>
  <c r="I70" i="5"/>
  <c r="I72" i="5"/>
  <c r="I73" i="5"/>
  <c r="I74" i="5"/>
  <c r="I76" i="5"/>
  <c r="I77" i="5"/>
  <c r="I78" i="5"/>
  <c r="I80" i="5"/>
  <c r="I81" i="5"/>
  <c r="I82" i="5"/>
  <c r="I85" i="5"/>
  <c r="R52" i="11" s="1"/>
  <c r="I86" i="5"/>
  <c r="I87" i="5"/>
  <c r="R54" i="11" s="1"/>
  <c r="I90" i="5"/>
  <c r="R58" i="11" s="1"/>
  <c r="I91" i="5"/>
  <c r="I92" i="5"/>
  <c r="R60" i="11" s="1"/>
  <c r="K28" i="5"/>
  <c r="K29" i="5"/>
  <c r="K30" i="5"/>
  <c r="K32" i="5"/>
  <c r="K33" i="5"/>
  <c r="K34" i="5"/>
  <c r="K36" i="5"/>
  <c r="K37" i="5"/>
  <c r="K38" i="5"/>
  <c r="K40" i="5"/>
  <c r="K41" i="5"/>
  <c r="K42" i="5"/>
  <c r="K45" i="5"/>
  <c r="P60" i="9" s="1"/>
  <c r="K46" i="5"/>
  <c r="K47" i="5"/>
  <c r="P62" i="9" s="1"/>
  <c r="K49" i="5"/>
  <c r="P65" i="9" s="1"/>
  <c r="K50" i="5"/>
  <c r="K51" i="5"/>
  <c r="P67" i="9" s="1"/>
  <c r="K53" i="5"/>
  <c r="P70" i="9" s="1"/>
  <c r="K54" i="5"/>
  <c r="K55" i="5"/>
  <c r="P72" i="9" s="1"/>
  <c r="K58" i="5"/>
  <c r="P64" i="11" s="1"/>
  <c r="K59" i="5"/>
  <c r="K60" i="5"/>
  <c r="P66" i="11" s="1"/>
  <c r="K63" i="5"/>
  <c r="P46" i="11" s="1"/>
  <c r="K64" i="5"/>
  <c r="K65" i="5"/>
  <c r="P48" i="11" s="1"/>
  <c r="K68" i="5"/>
  <c r="K69" i="5"/>
  <c r="K70" i="5"/>
  <c r="K72" i="5"/>
  <c r="K73" i="5"/>
  <c r="K74" i="5"/>
  <c r="K76" i="5"/>
  <c r="K77" i="5"/>
  <c r="K78" i="5"/>
  <c r="K80" i="5"/>
  <c r="K81" i="5"/>
  <c r="K82" i="5"/>
  <c r="K85" i="5"/>
  <c r="P52" i="11" s="1"/>
  <c r="K86" i="5"/>
  <c r="K87" i="5"/>
  <c r="P54" i="11" s="1"/>
  <c r="K90" i="5"/>
  <c r="P58" i="11" s="1"/>
  <c r="K91" i="5"/>
  <c r="K92" i="5"/>
  <c r="P60" i="11" s="1"/>
  <c r="M28" i="5"/>
  <c r="M29" i="5"/>
  <c r="M30" i="5"/>
  <c r="M32" i="5"/>
  <c r="M33" i="5"/>
  <c r="M34" i="5"/>
  <c r="M36" i="5"/>
  <c r="M37" i="5"/>
  <c r="M38" i="5"/>
  <c r="M40" i="5"/>
  <c r="M41" i="5"/>
  <c r="M42" i="5"/>
  <c r="M45" i="5"/>
  <c r="N60" i="9" s="1"/>
  <c r="M46" i="5"/>
  <c r="M47" i="5"/>
  <c r="N62" i="9" s="1"/>
  <c r="M49" i="5"/>
  <c r="N65" i="9" s="1"/>
  <c r="M50" i="5"/>
  <c r="M51" i="5"/>
  <c r="N67" i="9" s="1"/>
  <c r="M53" i="5"/>
  <c r="N70" i="9" s="1"/>
  <c r="M54" i="5"/>
  <c r="M55" i="5"/>
  <c r="N72" i="9" s="1"/>
  <c r="M58" i="5"/>
  <c r="N64" i="11" s="1"/>
  <c r="M59" i="5"/>
  <c r="M60" i="5"/>
  <c r="N66" i="11" s="1"/>
  <c r="M63" i="5"/>
  <c r="N46" i="11" s="1"/>
  <c r="M64" i="5"/>
  <c r="M65" i="5"/>
  <c r="N48" i="11" s="1"/>
  <c r="M68" i="5"/>
  <c r="M69" i="5"/>
  <c r="M70" i="5"/>
  <c r="M72" i="5"/>
  <c r="M73" i="5"/>
  <c r="M74" i="5"/>
  <c r="M76" i="5"/>
  <c r="M77" i="5"/>
  <c r="M78" i="5"/>
  <c r="M80" i="5"/>
  <c r="M81" i="5"/>
  <c r="M82" i="5"/>
  <c r="M85" i="5"/>
  <c r="N52" i="11" s="1"/>
  <c r="M86" i="5"/>
  <c r="M87" i="5"/>
  <c r="N54" i="11" s="1"/>
  <c r="M90" i="5"/>
  <c r="N58" i="11" s="1"/>
  <c r="M91" i="5"/>
  <c r="M92" i="5"/>
  <c r="N60" i="11" s="1"/>
  <c r="O28" i="5"/>
  <c r="O29" i="5"/>
  <c r="O30" i="5"/>
  <c r="O32" i="5"/>
  <c r="O33" i="5"/>
  <c r="O34" i="5"/>
  <c r="O36" i="5"/>
  <c r="O37" i="5"/>
  <c r="O38" i="5"/>
  <c r="O40" i="5"/>
  <c r="O41" i="5"/>
  <c r="O42" i="5"/>
  <c r="O45" i="5"/>
  <c r="L60" i="9" s="1"/>
  <c r="O46" i="5"/>
  <c r="O47" i="5"/>
  <c r="L62" i="9" s="1"/>
  <c r="O49" i="5"/>
  <c r="L65" i="9" s="1"/>
  <c r="O50" i="5"/>
  <c r="O51" i="5"/>
  <c r="L67" i="9" s="1"/>
  <c r="O53" i="5"/>
  <c r="L70" i="9" s="1"/>
  <c r="O54" i="5"/>
  <c r="O55" i="5"/>
  <c r="L72" i="9" s="1"/>
  <c r="O58" i="5"/>
  <c r="L64" i="11" s="1"/>
  <c r="O59" i="5"/>
  <c r="O60" i="5"/>
  <c r="L66" i="11" s="1"/>
  <c r="O63" i="5"/>
  <c r="L46" i="11" s="1"/>
  <c r="O64" i="5"/>
  <c r="O65" i="5"/>
  <c r="L48" i="11" s="1"/>
  <c r="O68" i="5"/>
  <c r="O69" i="5"/>
  <c r="O70" i="5"/>
  <c r="O72" i="5"/>
  <c r="O73" i="5"/>
  <c r="O74" i="5"/>
  <c r="O76" i="5"/>
  <c r="O77" i="5"/>
  <c r="O78" i="5"/>
  <c r="O80" i="5"/>
  <c r="O81" i="5"/>
  <c r="O82" i="5"/>
  <c r="O85" i="5"/>
  <c r="L52" i="11" s="1"/>
  <c r="O86" i="5"/>
  <c r="O87" i="5"/>
  <c r="L54" i="11" s="1"/>
  <c r="O90" i="5"/>
  <c r="L58" i="11" s="1"/>
  <c r="O91" i="5"/>
  <c r="O92" i="5"/>
  <c r="L60" i="11" s="1"/>
  <c r="Q28" i="5"/>
  <c r="Q29" i="5"/>
  <c r="Q30" i="5"/>
  <c r="Q32" i="5"/>
  <c r="Q33" i="5"/>
  <c r="Q34" i="5"/>
  <c r="Q36" i="5"/>
  <c r="Q37" i="5"/>
  <c r="Q38" i="5"/>
  <c r="Q40" i="5"/>
  <c r="Q41" i="5"/>
  <c r="Q42" i="5"/>
  <c r="Q45" i="5"/>
  <c r="J60" i="9" s="1"/>
  <c r="Q46" i="5"/>
  <c r="Q47" i="5"/>
  <c r="J62" i="9" s="1"/>
  <c r="Q49" i="5"/>
  <c r="J65" i="9" s="1"/>
  <c r="Q50" i="5"/>
  <c r="Q51" i="5"/>
  <c r="J67" i="9" s="1"/>
  <c r="Q53" i="5"/>
  <c r="J70" i="9" s="1"/>
  <c r="Q54" i="5"/>
  <c r="Q55" i="5"/>
  <c r="J72" i="9" s="1"/>
  <c r="Q58" i="5"/>
  <c r="J64" i="11" s="1"/>
  <c r="Q59" i="5"/>
  <c r="Q60" i="5"/>
  <c r="J66" i="11" s="1"/>
  <c r="Q63" i="5"/>
  <c r="J46" i="11" s="1"/>
  <c r="Q64" i="5"/>
  <c r="Q65" i="5"/>
  <c r="J48" i="11" s="1"/>
  <c r="Q68" i="5"/>
  <c r="Q69" i="5"/>
  <c r="Q70" i="5"/>
  <c r="Q72" i="5"/>
  <c r="Q73" i="5"/>
  <c r="Q74" i="5"/>
  <c r="Q76" i="5"/>
  <c r="Q77" i="5"/>
  <c r="Q78" i="5"/>
  <c r="Q80" i="5"/>
  <c r="Q81" i="5"/>
  <c r="Q82" i="5"/>
  <c r="Q85" i="5"/>
  <c r="J52" i="11" s="1"/>
  <c r="Q86" i="5"/>
  <c r="Q87" i="5"/>
  <c r="J54" i="11" s="1"/>
  <c r="Q90" i="5"/>
  <c r="J58" i="11" s="1"/>
  <c r="Q91" i="5"/>
  <c r="Q92" i="5"/>
  <c r="J60" i="11" s="1"/>
  <c r="S28" i="5"/>
  <c r="S29" i="5"/>
  <c r="S30" i="5"/>
  <c r="S32" i="5"/>
  <c r="S33" i="5"/>
  <c r="S34" i="5"/>
  <c r="S36" i="5"/>
  <c r="S37" i="5"/>
  <c r="S38" i="5"/>
  <c r="S40" i="5"/>
  <c r="S41" i="5"/>
  <c r="S42" i="5"/>
  <c r="S45" i="5"/>
  <c r="I60" i="9" s="1"/>
  <c r="S46" i="5"/>
  <c r="S47" i="5"/>
  <c r="I62" i="9" s="1"/>
  <c r="S49" i="5"/>
  <c r="I65" i="9" s="1"/>
  <c r="S50" i="5"/>
  <c r="S51" i="5"/>
  <c r="I67" i="9" s="1"/>
  <c r="S53" i="5"/>
  <c r="I70" i="9" s="1"/>
  <c r="S54" i="5"/>
  <c r="S55" i="5"/>
  <c r="I72" i="9" s="1"/>
  <c r="S58" i="5"/>
  <c r="I64" i="11" s="1"/>
  <c r="S59" i="5"/>
  <c r="S60" i="5"/>
  <c r="I66" i="11" s="1"/>
  <c r="S63" i="5"/>
  <c r="I46" i="11" s="1"/>
  <c r="S64" i="5"/>
  <c r="S65" i="5"/>
  <c r="I48" i="11" s="1"/>
  <c r="S68" i="5"/>
  <c r="S69" i="5"/>
  <c r="S70" i="5"/>
  <c r="S72" i="5"/>
  <c r="S73" i="5"/>
  <c r="S74" i="5"/>
  <c r="S76" i="5"/>
  <c r="S77" i="5"/>
  <c r="S78" i="5"/>
  <c r="S80" i="5"/>
  <c r="S81" i="5"/>
  <c r="S82" i="5"/>
  <c r="S85" i="5"/>
  <c r="I52" i="11" s="1"/>
  <c r="S86" i="5"/>
  <c r="S87" i="5"/>
  <c r="I54" i="11" s="1"/>
  <c r="S90" i="5"/>
  <c r="I58" i="11" s="1"/>
  <c r="S91" i="5"/>
  <c r="S92" i="5"/>
  <c r="I60" i="11" s="1"/>
  <c r="U28" i="5"/>
  <c r="U29" i="5"/>
  <c r="U30" i="5"/>
  <c r="U32" i="5"/>
  <c r="U33" i="5"/>
  <c r="U34" i="5"/>
  <c r="U36" i="5"/>
  <c r="U37" i="5"/>
  <c r="U38" i="5"/>
  <c r="U40" i="5"/>
  <c r="U41" i="5"/>
  <c r="U42" i="5"/>
  <c r="U45" i="5"/>
  <c r="G60" i="9" s="1"/>
  <c r="U46" i="5"/>
  <c r="U47" i="5"/>
  <c r="G62" i="9" s="1"/>
  <c r="U49" i="5"/>
  <c r="G65" i="9" s="1"/>
  <c r="U50" i="5"/>
  <c r="U51" i="5"/>
  <c r="G67" i="9" s="1"/>
  <c r="U53" i="5"/>
  <c r="G70" i="9" s="1"/>
  <c r="U54" i="5"/>
  <c r="U55" i="5"/>
  <c r="G72" i="9" s="1"/>
  <c r="U58" i="5"/>
  <c r="G64" i="11" s="1"/>
  <c r="U59" i="5"/>
  <c r="U60" i="5"/>
  <c r="G66" i="11" s="1"/>
  <c r="U63" i="5"/>
  <c r="G46" i="11" s="1"/>
  <c r="U64" i="5"/>
  <c r="U65" i="5"/>
  <c r="G48" i="11" s="1"/>
  <c r="U68" i="5"/>
  <c r="U69" i="5"/>
  <c r="U70" i="5"/>
  <c r="U72" i="5"/>
  <c r="U73" i="5"/>
  <c r="U74" i="5"/>
  <c r="U76" i="5"/>
  <c r="U77" i="5"/>
  <c r="U78" i="5"/>
  <c r="U80" i="5"/>
  <c r="U81" i="5"/>
  <c r="U82" i="5"/>
  <c r="U85" i="5"/>
  <c r="G52" i="11" s="1"/>
  <c r="U86" i="5"/>
  <c r="U87" i="5"/>
  <c r="G54" i="11" s="1"/>
  <c r="U90" i="5"/>
  <c r="G58" i="11" s="1"/>
  <c r="U91" i="5"/>
  <c r="U92" i="5"/>
  <c r="G60" i="11" s="1"/>
  <c r="W28" i="5"/>
  <c r="W29" i="5"/>
  <c r="W30" i="5"/>
  <c r="W32" i="5"/>
  <c r="W33" i="5"/>
  <c r="W34" i="5"/>
  <c r="W36" i="5"/>
  <c r="W37" i="5"/>
  <c r="W38" i="5"/>
  <c r="W40" i="5"/>
  <c r="W41" i="5"/>
  <c r="W42" i="5"/>
  <c r="W45" i="5"/>
  <c r="E60" i="9" s="1"/>
  <c r="W46" i="5"/>
  <c r="W47" i="5"/>
  <c r="E62" i="9" s="1"/>
  <c r="W49" i="5"/>
  <c r="E65" i="9" s="1"/>
  <c r="W50" i="5"/>
  <c r="W51" i="5"/>
  <c r="E67" i="9" s="1"/>
  <c r="W53" i="5"/>
  <c r="E70" i="9" s="1"/>
  <c r="W54" i="5"/>
  <c r="W55" i="5"/>
  <c r="E72" i="9" s="1"/>
  <c r="W58" i="5"/>
  <c r="E64" i="11" s="1"/>
  <c r="W59" i="5"/>
  <c r="W60" i="5"/>
  <c r="E66" i="11" s="1"/>
  <c r="W63" i="5"/>
  <c r="E46" i="11" s="1"/>
  <c r="W64" i="5"/>
  <c r="W65" i="5"/>
  <c r="E48" i="11" s="1"/>
  <c r="W68" i="5"/>
  <c r="W69" i="5"/>
  <c r="W70" i="5"/>
  <c r="W72" i="5"/>
  <c r="W73" i="5"/>
  <c r="W74" i="5"/>
  <c r="W76" i="5"/>
  <c r="W77" i="5"/>
  <c r="W78" i="5"/>
  <c r="W80" i="5"/>
  <c r="W81" i="5"/>
  <c r="W82" i="5"/>
  <c r="W85" i="5"/>
  <c r="E52" i="11" s="1"/>
  <c r="W86" i="5"/>
  <c r="W87" i="5"/>
  <c r="E54" i="11" s="1"/>
  <c r="W90" i="5"/>
  <c r="E58" i="11" s="1"/>
  <c r="W91" i="5"/>
  <c r="W92" i="5"/>
  <c r="E60" i="11" s="1"/>
  <c r="Y23" i="5"/>
  <c r="C41" i="7" s="1"/>
  <c r="Y28" i="5"/>
  <c r="Y29" i="5"/>
  <c r="Y30" i="5"/>
  <c r="Y32" i="5"/>
  <c r="Y33" i="5"/>
  <c r="Y34" i="5"/>
  <c r="Y36" i="5"/>
  <c r="Y37" i="5"/>
  <c r="Y38" i="5"/>
  <c r="Y40" i="5"/>
  <c r="Y41" i="5"/>
  <c r="Y42" i="5"/>
  <c r="Y45" i="5"/>
  <c r="C60" i="9" s="1"/>
  <c r="Y46" i="5"/>
  <c r="Y47" i="5"/>
  <c r="C62" i="9" s="1"/>
  <c r="Y49" i="5"/>
  <c r="C65" i="9" s="1"/>
  <c r="Y50" i="5"/>
  <c r="Y51" i="5"/>
  <c r="C67" i="9" s="1"/>
  <c r="Y53" i="5"/>
  <c r="C70" i="9" s="1"/>
  <c r="Y54" i="5"/>
  <c r="Y55" i="5"/>
  <c r="C72" i="9" s="1"/>
  <c r="Y58" i="5"/>
  <c r="C64" i="11" s="1"/>
  <c r="Y59" i="5"/>
  <c r="Y60" i="5"/>
  <c r="C66" i="11" s="1"/>
  <c r="Y63" i="5"/>
  <c r="C46" i="11" s="1"/>
  <c r="Y64" i="5"/>
  <c r="Y65" i="5"/>
  <c r="C48" i="11" s="1"/>
  <c r="Y68" i="5"/>
  <c r="Y69" i="5"/>
  <c r="Y70" i="5"/>
  <c r="Y72" i="5"/>
  <c r="Y73" i="5"/>
  <c r="Y74" i="5"/>
  <c r="Y76" i="5"/>
  <c r="Y77" i="5"/>
  <c r="Y78" i="5"/>
  <c r="Y80" i="5"/>
  <c r="Y81" i="5"/>
  <c r="Y82" i="5"/>
  <c r="Y85" i="5"/>
  <c r="C52" i="11" s="1"/>
  <c r="Y86" i="5"/>
  <c r="Y87" i="5"/>
  <c r="C54" i="11" s="1"/>
  <c r="Y90" i="5"/>
  <c r="C58" i="11" s="1"/>
  <c r="Y91" i="5"/>
  <c r="Y92" i="5"/>
  <c r="C60" i="11" s="1"/>
  <c r="F23" i="5"/>
  <c r="V41" i="7" s="1"/>
  <c r="J23" i="5"/>
  <c r="R41" i="7" s="1"/>
  <c r="L23" i="5"/>
  <c r="P41" i="7" s="1"/>
  <c r="N23" i="5"/>
  <c r="N41" i="7" s="1"/>
  <c r="D4" i="6" s="1"/>
  <c r="P23" i="5"/>
  <c r="L41" i="7" s="1"/>
  <c r="R23" i="5"/>
  <c r="J41" i="7" s="1"/>
  <c r="T23" i="5"/>
  <c r="H41" i="7" s="1"/>
  <c r="V23" i="5"/>
  <c r="F41" i="7" s="1"/>
  <c r="D23" i="5"/>
  <c r="X41" i="7" s="1"/>
  <c r="H23" i="5"/>
  <c r="T41" i="7" s="1"/>
  <c r="E23" i="5"/>
  <c r="W41" i="7" s="1"/>
  <c r="G23" i="5"/>
  <c r="U41" i="7" s="1"/>
  <c r="I23" i="5"/>
  <c r="S41" i="7" s="1"/>
  <c r="K23" i="5"/>
  <c r="Q41" i="7" s="1"/>
  <c r="M23" i="5"/>
  <c r="O41" i="7" s="1"/>
  <c r="O23" i="5"/>
  <c r="M41" i="7" s="1"/>
  <c r="Q23" i="5"/>
  <c r="K41" i="7" s="1"/>
  <c r="S23" i="5"/>
  <c r="I41" i="7" s="1"/>
  <c r="U23" i="5"/>
  <c r="G41" i="7" s="1"/>
  <c r="W23" i="5"/>
  <c r="E41" i="7" s="1"/>
  <c r="C40" i="7"/>
  <c r="E40" i="7"/>
  <c r="G40" i="7"/>
  <c r="K40" i="7"/>
  <c r="M40" i="7"/>
  <c r="N40" i="7"/>
  <c r="O40" i="7"/>
  <c r="P40" i="7"/>
  <c r="S40" i="7"/>
  <c r="U40" i="7"/>
  <c r="V40" i="7"/>
  <c r="D40" i="7"/>
  <c r="F40" i="7"/>
  <c r="H40" i="7"/>
  <c r="I40" i="7"/>
  <c r="J40" i="7"/>
  <c r="L40" i="7"/>
  <c r="Q40" i="7"/>
  <c r="R40" i="7"/>
  <c r="T40" i="7"/>
  <c r="W40" i="7"/>
  <c r="X40" i="7"/>
  <c r="B40" i="7"/>
  <c r="Y24" i="5"/>
  <c r="W24" i="5"/>
  <c r="U24" i="5"/>
  <c r="S24" i="5"/>
  <c r="Q24" i="5"/>
  <c r="O24" i="5"/>
  <c r="M24" i="5"/>
  <c r="K24" i="5"/>
  <c r="I24" i="5"/>
  <c r="G24" i="5"/>
  <c r="E24" i="5"/>
  <c r="Y25" i="5"/>
  <c r="C43" i="7" s="1"/>
  <c r="W25" i="5"/>
  <c r="E43" i="7" s="1"/>
  <c r="U25" i="5"/>
  <c r="G43" i="7" s="1"/>
  <c r="S25" i="5"/>
  <c r="I43" i="7" s="1"/>
  <c r="Q25" i="5"/>
  <c r="K43" i="7" s="1"/>
  <c r="O25" i="5"/>
  <c r="M43" i="7" s="1"/>
  <c r="M25" i="5"/>
  <c r="O43" i="7" s="1"/>
  <c r="K25" i="5"/>
  <c r="Q43" i="7" s="1"/>
  <c r="I25" i="5"/>
  <c r="S43" i="7" s="1"/>
  <c r="G25" i="5"/>
  <c r="U43" i="7" s="1"/>
  <c r="E25" i="5"/>
  <c r="W43" i="7" s="1"/>
  <c r="Z24" i="5"/>
  <c r="X24" i="5"/>
  <c r="V24" i="5"/>
  <c r="T24" i="5"/>
  <c r="R24" i="5"/>
  <c r="P24" i="5"/>
  <c r="N24" i="5"/>
  <c r="L24" i="5"/>
  <c r="J24" i="5"/>
  <c r="H24" i="5"/>
  <c r="F24" i="5"/>
  <c r="D24" i="5"/>
  <c r="Z25" i="5"/>
  <c r="B43" i="7" s="1"/>
  <c r="X25" i="5"/>
  <c r="D43" i="7" s="1"/>
  <c r="V25" i="5"/>
  <c r="F43" i="7" s="1"/>
  <c r="T25" i="5"/>
  <c r="H43" i="7" s="1"/>
  <c r="R25" i="5"/>
  <c r="J43" i="7" s="1"/>
  <c r="P25" i="5"/>
  <c r="L43" i="7" s="1"/>
  <c r="N25" i="5"/>
  <c r="N43" i="7" s="1"/>
  <c r="D6" i="6" s="1"/>
  <c r="L25" i="5"/>
  <c r="P43" i="7" s="1"/>
  <c r="J25" i="5"/>
  <c r="R43" i="7" s="1"/>
  <c r="H25" i="5"/>
  <c r="T43" i="7" s="1"/>
  <c r="F25" i="5"/>
  <c r="V43" i="7" s="1"/>
  <c r="D25" i="5"/>
  <c r="X43" i="7" s="1"/>
  <c r="C22" i="5"/>
  <c r="C107" i="5" s="1"/>
  <c r="X68" i="11" s="1"/>
  <c r="B22" i="5"/>
  <c r="B107" i="5" s="1"/>
  <c r="Y68" i="11" s="1"/>
  <c r="B6" i="5"/>
  <c r="B5" i="5"/>
  <c r="G17" i="6" s="1"/>
  <c r="Y75" i="5" l="1"/>
  <c r="Y39" i="5"/>
  <c r="C73" i="8" s="1"/>
  <c r="W83" i="5"/>
  <c r="E78" i="10" s="1"/>
  <c r="W31" i="5"/>
  <c r="U43" i="5"/>
  <c r="S75" i="5"/>
  <c r="I68" i="10" s="1"/>
  <c r="Q71" i="5"/>
  <c r="J63" i="10" s="1"/>
  <c r="Q35" i="5"/>
  <c r="O83" i="5"/>
  <c r="O31" i="5"/>
  <c r="L63" i="8" s="1"/>
  <c r="M43" i="5"/>
  <c r="N78" i="8" s="1"/>
  <c r="I71" i="5"/>
  <c r="G83" i="5"/>
  <c r="G31" i="5"/>
  <c r="T63" i="8" s="1"/>
  <c r="D39" i="5"/>
  <c r="W73" i="8" s="1"/>
  <c r="Z71" i="5"/>
  <c r="X79" i="5"/>
  <c r="E43" i="5"/>
  <c r="V78" i="8" s="1"/>
  <c r="X43" i="5"/>
  <c r="D78" i="8" s="1"/>
  <c r="V71" i="5"/>
  <c r="V35" i="5"/>
  <c r="F68" i="8" s="1"/>
  <c r="T31" i="5"/>
  <c r="H63" i="8" s="1"/>
  <c r="R79" i="5"/>
  <c r="R61" i="5"/>
  <c r="R43" i="5"/>
  <c r="P75" i="5"/>
  <c r="K68" i="10" s="1"/>
  <c r="Y31" i="5"/>
  <c r="C63" i="8" s="1"/>
  <c r="W75" i="5"/>
  <c r="E68" i="10" s="1"/>
  <c r="U71" i="5"/>
  <c r="G63" i="10" s="1"/>
  <c r="U35" i="5"/>
  <c r="G68" i="8" s="1"/>
  <c r="S83" i="5"/>
  <c r="I78" i="10" s="1"/>
  <c r="S31" i="5"/>
  <c r="I63" i="8" s="1"/>
  <c r="Q43" i="5"/>
  <c r="J78" i="8" s="1"/>
  <c r="O75" i="5"/>
  <c r="L68" i="10" s="1"/>
  <c r="M71" i="5"/>
  <c r="N63" i="10" s="1"/>
  <c r="K83" i="5"/>
  <c r="P78" i="10" s="1"/>
  <c r="K31" i="5"/>
  <c r="P63" i="8" s="1"/>
  <c r="I43" i="5"/>
  <c r="R78" i="8" s="1"/>
  <c r="E71" i="5"/>
  <c r="V63" i="10" s="1"/>
  <c r="D83" i="5"/>
  <c r="W78" i="10" s="1"/>
  <c r="D31" i="5"/>
  <c r="W63" i="8" s="1"/>
  <c r="Z79" i="5"/>
  <c r="B73" i="10" s="1"/>
  <c r="Z43" i="5"/>
  <c r="B78" i="8" s="1"/>
  <c r="X35" i="5"/>
  <c r="D68" i="8" s="1"/>
  <c r="V79" i="5"/>
  <c r="F73" i="10" s="1"/>
  <c r="T39" i="5"/>
  <c r="H73" i="8" s="1"/>
  <c r="R88" i="5"/>
  <c r="R71" i="5"/>
  <c r="R52" i="5"/>
  <c r="R35" i="5"/>
  <c r="P83" i="5"/>
  <c r="K78" i="10" s="1"/>
  <c r="N43" i="5"/>
  <c r="M78" i="8" s="1"/>
  <c r="L75" i="5"/>
  <c r="O68" i="10" s="1"/>
  <c r="J71" i="5"/>
  <c r="Q63" i="10" s="1"/>
  <c r="J35" i="5"/>
  <c r="Q68" i="8" s="1"/>
  <c r="H31" i="5"/>
  <c r="N35" i="5"/>
  <c r="M68" i="8" s="1"/>
  <c r="L31" i="5"/>
  <c r="O63" i="8" s="1"/>
  <c r="J43" i="5"/>
  <c r="Q78" i="8" s="1"/>
  <c r="H75" i="5"/>
  <c r="S68" i="10" s="1"/>
  <c r="F71" i="5"/>
  <c r="U63" i="10" s="1"/>
  <c r="F35" i="5"/>
  <c r="U68" i="8" s="1"/>
  <c r="Y71" i="5"/>
  <c r="C63" i="10" s="1"/>
  <c r="Y35" i="5"/>
  <c r="C68" i="8" s="1"/>
  <c r="W43" i="5"/>
  <c r="E78" i="8" s="1"/>
  <c r="U75" i="5"/>
  <c r="G68" i="10" s="1"/>
  <c r="S71" i="5"/>
  <c r="I63" i="10" s="1"/>
  <c r="S35" i="5"/>
  <c r="I68" i="8" s="1"/>
  <c r="Q83" i="5"/>
  <c r="J78" i="10" s="1"/>
  <c r="Q31" i="5"/>
  <c r="J63" i="8" s="1"/>
  <c r="O43" i="5"/>
  <c r="L78" i="8" s="1"/>
  <c r="M75" i="5"/>
  <c r="N68" i="10" s="1"/>
  <c r="K71" i="5"/>
  <c r="I83" i="5"/>
  <c r="I31" i="5"/>
  <c r="R63" i="8" s="1"/>
  <c r="G43" i="5"/>
  <c r="D71" i="5"/>
  <c r="W63" i="10" s="1"/>
  <c r="Z83" i="5"/>
  <c r="Z31" i="5"/>
  <c r="B63" i="8" s="1"/>
  <c r="X75" i="5"/>
  <c r="D68" i="10" s="1"/>
  <c r="X39" i="5"/>
  <c r="D73" i="8" s="1"/>
  <c r="V31" i="5"/>
  <c r="F63" i="8" s="1"/>
  <c r="T79" i="5"/>
  <c r="H73" i="10" s="1"/>
  <c r="P35" i="5"/>
  <c r="K68" i="8" s="1"/>
  <c r="N83" i="5"/>
  <c r="L43" i="5"/>
  <c r="O78" i="8" s="1"/>
  <c r="J75" i="5"/>
  <c r="Q68" i="10" s="1"/>
  <c r="H71" i="5"/>
  <c r="S63" i="10" s="1"/>
  <c r="H35" i="5"/>
  <c r="S68" i="8" s="1"/>
  <c r="L83" i="5"/>
  <c r="O78" i="10" s="1"/>
  <c r="Y79" i="5"/>
  <c r="C73" i="10" s="1"/>
  <c r="W71" i="5"/>
  <c r="E63" i="10" s="1"/>
  <c r="W35" i="5"/>
  <c r="E68" i="8" s="1"/>
  <c r="U83" i="5"/>
  <c r="G78" i="10" s="1"/>
  <c r="U31" i="5"/>
  <c r="G63" i="8" s="1"/>
  <c r="S43" i="5"/>
  <c r="I78" i="8" s="1"/>
  <c r="Q75" i="5"/>
  <c r="J68" i="10" s="1"/>
  <c r="O71" i="5"/>
  <c r="L63" i="10" s="1"/>
  <c r="O35" i="5"/>
  <c r="L68" i="8" s="1"/>
  <c r="M83" i="5"/>
  <c r="M31" i="5"/>
  <c r="N63" i="8" s="1"/>
  <c r="K43" i="5"/>
  <c r="P78" i="8" s="1"/>
  <c r="G71" i="5"/>
  <c r="T63" i="10" s="1"/>
  <c r="E83" i="5"/>
  <c r="E31" i="5"/>
  <c r="V63" i="8" s="1"/>
  <c r="D79" i="5"/>
  <c r="D43" i="5"/>
  <c r="W78" i="8" s="1"/>
  <c r="Z39" i="5"/>
  <c r="B73" i="8" s="1"/>
  <c r="X83" i="5"/>
  <c r="D78" i="10" s="1"/>
  <c r="V75" i="5"/>
  <c r="F68" i="10" s="1"/>
  <c r="V39" i="5"/>
  <c r="F73" i="8" s="1"/>
  <c r="T71" i="5"/>
  <c r="H63" i="10" s="1"/>
  <c r="P43" i="5"/>
  <c r="K78" i="8" s="1"/>
  <c r="N75" i="5"/>
  <c r="M68" i="10" s="1"/>
  <c r="L35" i="5"/>
  <c r="O68" i="8" s="1"/>
  <c r="J83" i="5"/>
  <c r="J31" i="5"/>
  <c r="Q63" i="8" s="1"/>
  <c r="F75" i="5"/>
  <c r="U68" i="10" s="1"/>
  <c r="R42" i="7"/>
  <c r="R44" i="7" s="1"/>
  <c r="J26" i="5"/>
  <c r="B42" i="7"/>
  <c r="Z26" i="5"/>
  <c r="W42" i="7"/>
  <c r="W44" i="7" s="1"/>
  <c r="E26" i="5"/>
  <c r="G42" i="7"/>
  <c r="G44" i="7" s="1"/>
  <c r="U26" i="5"/>
  <c r="C53" i="11"/>
  <c r="C56" i="11" s="1"/>
  <c r="Y88" i="5"/>
  <c r="C55" i="11" s="1"/>
  <c r="C59" i="11"/>
  <c r="C62" i="11" s="1"/>
  <c r="Y93" i="5"/>
  <c r="C61" i="11" s="1"/>
  <c r="J42" i="7"/>
  <c r="J44" i="7" s="1"/>
  <c r="R26" i="5"/>
  <c r="O42" i="7"/>
  <c r="O44" i="7" s="1"/>
  <c r="M26" i="5"/>
  <c r="C61" i="9"/>
  <c r="C64" i="9" s="1"/>
  <c r="Y48" i="5"/>
  <c r="C63" i="9" s="1"/>
  <c r="X42" i="7"/>
  <c r="X44" i="7" s="1"/>
  <c r="D26" i="5"/>
  <c r="M42" i="7"/>
  <c r="M44" i="7" s="1"/>
  <c r="O26" i="5"/>
  <c r="E66" i="9"/>
  <c r="E86" i="9" s="1"/>
  <c r="W52" i="5"/>
  <c r="E68" i="9" s="1"/>
  <c r="N42" i="7"/>
  <c r="D5" i="6" s="1"/>
  <c r="D7" i="6" s="1"/>
  <c r="N26" i="5"/>
  <c r="K42" i="7"/>
  <c r="Q26" i="5"/>
  <c r="T42" i="7"/>
  <c r="T44" i="7" s="1"/>
  <c r="H26" i="5"/>
  <c r="L42" i="7"/>
  <c r="L44" i="7" s="1"/>
  <c r="P26" i="5"/>
  <c r="D42" i="7"/>
  <c r="D44" i="7" s="1"/>
  <c r="X26" i="5"/>
  <c r="Q42" i="7"/>
  <c r="K26" i="5"/>
  <c r="I42" i="7"/>
  <c r="I44" i="7" s="1"/>
  <c r="S26" i="5"/>
  <c r="Y83" i="5"/>
  <c r="C78" i="10" s="1"/>
  <c r="Y43" i="5"/>
  <c r="C78" i="8" s="1"/>
  <c r="W79" i="5"/>
  <c r="E73" i="10" s="1"/>
  <c r="W39" i="5"/>
  <c r="E73" i="8" s="1"/>
  <c r="U79" i="5"/>
  <c r="G73" i="10" s="1"/>
  <c r="U39" i="5"/>
  <c r="G73" i="8" s="1"/>
  <c r="S79" i="5"/>
  <c r="I73" i="10" s="1"/>
  <c r="S39" i="5"/>
  <c r="I73" i="8" s="1"/>
  <c r="Q79" i="5"/>
  <c r="J73" i="10" s="1"/>
  <c r="Q39" i="5"/>
  <c r="J73" i="8" s="1"/>
  <c r="O79" i="5"/>
  <c r="L73" i="10" s="1"/>
  <c r="O39" i="5"/>
  <c r="L73" i="8" s="1"/>
  <c r="M79" i="5"/>
  <c r="N73" i="10" s="1"/>
  <c r="M39" i="5"/>
  <c r="N73" i="8" s="1"/>
  <c r="K79" i="5"/>
  <c r="P73" i="10" s="1"/>
  <c r="K39" i="5"/>
  <c r="I79" i="5"/>
  <c r="I39" i="5"/>
  <c r="R73" i="8" s="1"/>
  <c r="G79" i="5"/>
  <c r="T73" i="10" s="1"/>
  <c r="G39" i="5"/>
  <c r="T73" i="8" s="1"/>
  <c r="E79" i="5"/>
  <c r="V73" i="10" s="1"/>
  <c r="E39" i="5"/>
  <c r="V73" i="8" s="1"/>
  <c r="F59" i="11"/>
  <c r="F62" i="11" s="1"/>
  <c r="V93" i="5"/>
  <c r="F61" i="11" s="1"/>
  <c r="F53" i="11"/>
  <c r="F56" i="11" s="1"/>
  <c r="V88" i="5"/>
  <c r="F55" i="11" s="1"/>
  <c r="F47" i="11"/>
  <c r="F50" i="11" s="1"/>
  <c r="V66" i="5"/>
  <c r="F49" i="11" s="1"/>
  <c r="F65" i="11"/>
  <c r="F70" i="11" s="1"/>
  <c r="V61" i="5"/>
  <c r="F67" i="11" s="1"/>
  <c r="F71" i="9"/>
  <c r="F87" i="9" s="1"/>
  <c r="V56" i="5"/>
  <c r="F73" i="9" s="1"/>
  <c r="F66" i="9"/>
  <c r="F86" i="9" s="1"/>
  <c r="V52" i="5"/>
  <c r="F68" i="9" s="1"/>
  <c r="F61" i="9"/>
  <c r="F64" i="9" s="1"/>
  <c r="V48" i="5"/>
  <c r="F63" i="9" s="1"/>
  <c r="H59" i="11"/>
  <c r="H62" i="11" s="1"/>
  <c r="T93" i="5"/>
  <c r="H61" i="11" s="1"/>
  <c r="H53" i="11"/>
  <c r="H56" i="11" s="1"/>
  <c r="T88" i="5"/>
  <c r="H55" i="11" s="1"/>
  <c r="H47" i="11"/>
  <c r="H50" i="11" s="1"/>
  <c r="T66" i="5"/>
  <c r="H49" i="11" s="1"/>
  <c r="H65" i="11"/>
  <c r="H70" i="11" s="1"/>
  <c r="T61" i="5"/>
  <c r="H67" i="11" s="1"/>
  <c r="H71" i="9"/>
  <c r="H74" i="9" s="1"/>
  <c r="T56" i="5"/>
  <c r="H73" i="9" s="1"/>
  <c r="H66" i="9"/>
  <c r="H69" i="9" s="1"/>
  <c r="T52" i="5"/>
  <c r="H68" i="9" s="1"/>
  <c r="H61" i="9"/>
  <c r="H64" i="9" s="1"/>
  <c r="T48" i="5"/>
  <c r="H63" i="9" s="1"/>
  <c r="H83" i="5"/>
  <c r="S78" i="10" s="1"/>
  <c r="H43" i="5"/>
  <c r="F83" i="5"/>
  <c r="U78" i="10" s="1"/>
  <c r="F43" i="5"/>
  <c r="U78" i="8" s="1"/>
  <c r="C47" i="11"/>
  <c r="C50" i="11" s="1"/>
  <c r="Y66" i="5"/>
  <c r="C49" i="11" s="1"/>
  <c r="C66" i="9"/>
  <c r="C69" i="9" s="1"/>
  <c r="Y52" i="5"/>
  <c r="C68" i="9" s="1"/>
  <c r="T75" i="5"/>
  <c r="H68" i="10" s="1"/>
  <c r="T35" i="5"/>
  <c r="H68" i="8" s="1"/>
  <c r="R83" i="5"/>
  <c r="R66" i="5"/>
  <c r="R48" i="5"/>
  <c r="R31" i="5"/>
  <c r="K59" i="11"/>
  <c r="K62" i="11" s="1"/>
  <c r="P93" i="5"/>
  <c r="K61" i="11" s="1"/>
  <c r="K53" i="11"/>
  <c r="K56" i="11" s="1"/>
  <c r="P88" i="5"/>
  <c r="K55" i="11" s="1"/>
  <c r="P71" i="5"/>
  <c r="K63" i="10" s="1"/>
  <c r="K47" i="11"/>
  <c r="K50" i="11" s="1"/>
  <c r="P66" i="5"/>
  <c r="K49" i="11" s="1"/>
  <c r="K65" i="11"/>
  <c r="K70" i="11" s="1"/>
  <c r="P61" i="5"/>
  <c r="K67" i="11" s="1"/>
  <c r="K71" i="9"/>
  <c r="K74" i="9" s="1"/>
  <c r="P56" i="5"/>
  <c r="K73" i="9" s="1"/>
  <c r="K66" i="9"/>
  <c r="K69" i="9" s="1"/>
  <c r="P52" i="5"/>
  <c r="K68" i="9" s="1"/>
  <c r="K61" i="9"/>
  <c r="K64" i="9" s="1"/>
  <c r="P48" i="5"/>
  <c r="K63" i="9" s="1"/>
  <c r="P31" i="5"/>
  <c r="M59" i="11"/>
  <c r="I40" i="11" s="1"/>
  <c r="I5" i="6" s="1"/>
  <c r="I7" i="6" s="1"/>
  <c r="N93" i="5"/>
  <c r="M61" i="11" s="1"/>
  <c r="M53" i="11"/>
  <c r="N40" i="11" s="1"/>
  <c r="I12" i="6" s="1"/>
  <c r="I14" i="6" s="1"/>
  <c r="N88" i="5"/>
  <c r="M55" i="11" s="1"/>
  <c r="N71" i="5"/>
  <c r="M63" i="10" s="1"/>
  <c r="M47" i="11"/>
  <c r="D40" i="11" s="1"/>
  <c r="D26" i="6" s="1"/>
  <c r="D28" i="6" s="1"/>
  <c r="N66" i="5"/>
  <c r="M49" i="11" s="1"/>
  <c r="M65" i="11"/>
  <c r="M70" i="11" s="1"/>
  <c r="N61" i="5"/>
  <c r="M67" i="11" s="1"/>
  <c r="M71" i="9"/>
  <c r="I47" i="9" s="1"/>
  <c r="I49" i="9" s="1"/>
  <c r="N56" i="5"/>
  <c r="M73" i="9" s="1"/>
  <c r="M66" i="9"/>
  <c r="D47" i="9" s="1"/>
  <c r="D49" i="9" s="1"/>
  <c r="N52" i="5"/>
  <c r="M68" i="9" s="1"/>
  <c r="M61" i="9"/>
  <c r="D39" i="9" s="1"/>
  <c r="D41" i="9" s="1"/>
  <c r="N48" i="5"/>
  <c r="M63" i="9" s="1"/>
  <c r="N31" i="5"/>
  <c r="M63" i="8" s="1"/>
  <c r="O59" i="11"/>
  <c r="O62" i="11" s="1"/>
  <c r="L93" i="5"/>
  <c r="O61" i="11" s="1"/>
  <c r="O53" i="11"/>
  <c r="O56" i="11" s="1"/>
  <c r="L88" i="5"/>
  <c r="O55" i="11" s="1"/>
  <c r="L71" i="5"/>
  <c r="O63" i="10" s="1"/>
  <c r="O47" i="11"/>
  <c r="O50" i="11" s="1"/>
  <c r="L66" i="5"/>
  <c r="O49" i="11" s="1"/>
  <c r="O65" i="11"/>
  <c r="O70" i="11" s="1"/>
  <c r="L61" i="5"/>
  <c r="O67" i="11" s="1"/>
  <c r="O71" i="9"/>
  <c r="O74" i="9" s="1"/>
  <c r="L56" i="5"/>
  <c r="O73" i="9" s="1"/>
  <c r="O66" i="9"/>
  <c r="O69" i="9" s="1"/>
  <c r="L52" i="5"/>
  <c r="O68" i="9" s="1"/>
  <c r="O61" i="9"/>
  <c r="O64" i="9" s="1"/>
  <c r="L48" i="5"/>
  <c r="O63" i="9" s="1"/>
  <c r="Q59" i="11"/>
  <c r="Q62" i="11" s="1"/>
  <c r="J93" i="5"/>
  <c r="Q61" i="11" s="1"/>
  <c r="Q53" i="11"/>
  <c r="Q56" i="11" s="1"/>
  <c r="J88" i="5"/>
  <c r="Q55" i="11" s="1"/>
  <c r="Q47" i="11"/>
  <c r="Q50" i="11" s="1"/>
  <c r="J66" i="5"/>
  <c r="Q49" i="11" s="1"/>
  <c r="Q65" i="11"/>
  <c r="Q70" i="11" s="1"/>
  <c r="J61" i="5"/>
  <c r="Q67" i="11" s="1"/>
  <c r="Q71" i="9"/>
  <c r="Q87" i="9" s="1"/>
  <c r="J56" i="5"/>
  <c r="Q73" i="9" s="1"/>
  <c r="Q66" i="9"/>
  <c r="Q86" i="9" s="1"/>
  <c r="J52" i="5"/>
  <c r="Q68" i="9" s="1"/>
  <c r="Q61" i="9"/>
  <c r="Q64" i="9" s="1"/>
  <c r="J48" i="5"/>
  <c r="Q63" i="9" s="1"/>
  <c r="S59" i="11"/>
  <c r="S62" i="11" s="1"/>
  <c r="H93" i="5"/>
  <c r="S61" i="11" s="1"/>
  <c r="S53" i="11"/>
  <c r="S56" i="11" s="1"/>
  <c r="H88" i="5"/>
  <c r="S55" i="11" s="1"/>
  <c r="S47" i="11"/>
  <c r="S50" i="11" s="1"/>
  <c r="H66" i="5"/>
  <c r="S49" i="11" s="1"/>
  <c r="S65" i="11"/>
  <c r="S70" i="11" s="1"/>
  <c r="H61" i="5"/>
  <c r="S67" i="11" s="1"/>
  <c r="S71" i="9"/>
  <c r="S74" i="9" s="1"/>
  <c r="H56" i="5"/>
  <c r="S73" i="9" s="1"/>
  <c r="S66" i="9"/>
  <c r="S86" i="9" s="1"/>
  <c r="H52" i="5"/>
  <c r="S68" i="9" s="1"/>
  <c r="S61" i="9"/>
  <c r="S64" i="9" s="1"/>
  <c r="H48" i="5"/>
  <c r="S63" i="9" s="1"/>
  <c r="U59" i="11"/>
  <c r="U62" i="11" s="1"/>
  <c r="F93" i="5"/>
  <c r="U61" i="11" s="1"/>
  <c r="U53" i="11"/>
  <c r="U56" i="11" s="1"/>
  <c r="F88" i="5"/>
  <c r="U55" i="11" s="1"/>
  <c r="U47" i="11"/>
  <c r="U50" i="11" s="1"/>
  <c r="F66" i="5"/>
  <c r="U49" i="11" s="1"/>
  <c r="U65" i="11"/>
  <c r="U70" i="11" s="1"/>
  <c r="F61" i="5"/>
  <c r="U67" i="11" s="1"/>
  <c r="U71" i="9"/>
  <c r="U87" i="9" s="1"/>
  <c r="F56" i="5"/>
  <c r="U73" i="9" s="1"/>
  <c r="U66" i="9"/>
  <c r="U86" i="9" s="1"/>
  <c r="F52" i="5"/>
  <c r="U68" i="9" s="1"/>
  <c r="U61" i="9"/>
  <c r="U64" i="9" s="1"/>
  <c r="F48" i="5"/>
  <c r="U63" i="9" s="1"/>
  <c r="F31" i="5"/>
  <c r="U63" i="8" s="1"/>
  <c r="C71" i="9"/>
  <c r="C74" i="9" s="1"/>
  <c r="Y56" i="5"/>
  <c r="C73" i="9" s="1"/>
  <c r="H42" i="7"/>
  <c r="H44" i="7" s="1"/>
  <c r="T26" i="5"/>
  <c r="E42" i="7"/>
  <c r="E44" i="7" s="1"/>
  <c r="W26" i="5"/>
  <c r="E59" i="11"/>
  <c r="E62" i="11" s="1"/>
  <c r="W93" i="5"/>
  <c r="E61" i="11" s="1"/>
  <c r="E65" i="11"/>
  <c r="E70" i="11" s="1"/>
  <c r="W61" i="5"/>
  <c r="E67" i="11" s="1"/>
  <c r="E61" i="9"/>
  <c r="E64" i="9" s="1"/>
  <c r="W48" i="5"/>
  <c r="E63" i="9" s="1"/>
  <c r="G59" i="11"/>
  <c r="G62" i="11" s="1"/>
  <c r="U93" i="5"/>
  <c r="G61" i="11" s="1"/>
  <c r="G53" i="11"/>
  <c r="G56" i="11" s="1"/>
  <c r="U88" i="5"/>
  <c r="G55" i="11" s="1"/>
  <c r="G47" i="11"/>
  <c r="G50" i="11" s="1"/>
  <c r="U66" i="5"/>
  <c r="G49" i="11" s="1"/>
  <c r="G65" i="11"/>
  <c r="G70" i="11" s="1"/>
  <c r="U61" i="5"/>
  <c r="G67" i="11" s="1"/>
  <c r="G71" i="9"/>
  <c r="G87" i="9" s="1"/>
  <c r="U56" i="5"/>
  <c r="G73" i="9" s="1"/>
  <c r="G66" i="9"/>
  <c r="G86" i="9" s="1"/>
  <c r="U52" i="5"/>
  <c r="G68" i="9" s="1"/>
  <c r="G61" i="9"/>
  <c r="G64" i="9" s="1"/>
  <c r="U48" i="5"/>
  <c r="G63" i="9" s="1"/>
  <c r="I59" i="11"/>
  <c r="I62" i="11" s="1"/>
  <c r="S93" i="5"/>
  <c r="I61" i="11" s="1"/>
  <c r="I53" i="11"/>
  <c r="I56" i="11" s="1"/>
  <c r="S88" i="5"/>
  <c r="I55" i="11" s="1"/>
  <c r="I47" i="11"/>
  <c r="I50" i="11" s="1"/>
  <c r="S66" i="5"/>
  <c r="I49" i="11" s="1"/>
  <c r="I65" i="11"/>
  <c r="I70" i="11" s="1"/>
  <c r="S61" i="5"/>
  <c r="I67" i="11" s="1"/>
  <c r="I71" i="9"/>
  <c r="I74" i="9" s="1"/>
  <c r="S56" i="5"/>
  <c r="I73" i="9" s="1"/>
  <c r="I66" i="9"/>
  <c r="I69" i="9" s="1"/>
  <c r="S52" i="5"/>
  <c r="I68" i="9" s="1"/>
  <c r="I61" i="9"/>
  <c r="I64" i="9" s="1"/>
  <c r="S48" i="5"/>
  <c r="I63" i="9" s="1"/>
  <c r="J59" i="11"/>
  <c r="J62" i="11" s="1"/>
  <c r="Q93" i="5"/>
  <c r="J61" i="11" s="1"/>
  <c r="J53" i="11"/>
  <c r="J56" i="11" s="1"/>
  <c r="Q88" i="5"/>
  <c r="J55" i="11" s="1"/>
  <c r="J47" i="11"/>
  <c r="J50" i="11" s="1"/>
  <c r="Q66" i="5"/>
  <c r="J49" i="11" s="1"/>
  <c r="J65" i="11"/>
  <c r="J70" i="11" s="1"/>
  <c r="Q61" i="5"/>
  <c r="J67" i="11" s="1"/>
  <c r="J71" i="9"/>
  <c r="J87" i="9" s="1"/>
  <c r="Q56" i="5"/>
  <c r="J73" i="9" s="1"/>
  <c r="J66" i="9"/>
  <c r="J69" i="9" s="1"/>
  <c r="Q52" i="5"/>
  <c r="J68" i="9" s="1"/>
  <c r="J61" i="9"/>
  <c r="J64" i="9" s="1"/>
  <c r="Q48" i="5"/>
  <c r="J63" i="9" s="1"/>
  <c r="L59" i="11"/>
  <c r="L62" i="11" s="1"/>
  <c r="O93" i="5"/>
  <c r="L61" i="11" s="1"/>
  <c r="L53" i="11"/>
  <c r="L56" i="11" s="1"/>
  <c r="O88" i="5"/>
  <c r="L55" i="11" s="1"/>
  <c r="L47" i="11"/>
  <c r="L50" i="11" s="1"/>
  <c r="O66" i="5"/>
  <c r="L49" i="11" s="1"/>
  <c r="L65" i="11"/>
  <c r="L70" i="11" s="1"/>
  <c r="O61" i="5"/>
  <c r="L67" i="11" s="1"/>
  <c r="L71" i="9"/>
  <c r="L87" i="9" s="1"/>
  <c r="O56" i="5"/>
  <c r="L73" i="9" s="1"/>
  <c r="L66" i="9"/>
  <c r="L86" i="9" s="1"/>
  <c r="O52" i="5"/>
  <c r="L68" i="9" s="1"/>
  <c r="L61" i="9"/>
  <c r="L64" i="9" s="1"/>
  <c r="O48" i="5"/>
  <c r="L63" i="9" s="1"/>
  <c r="N59" i="11"/>
  <c r="N62" i="11" s="1"/>
  <c r="M93" i="5"/>
  <c r="N61" i="11" s="1"/>
  <c r="N53" i="11"/>
  <c r="M88" i="5"/>
  <c r="N55" i="11" s="1"/>
  <c r="N47" i="11"/>
  <c r="N50" i="11" s="1"/>
  <c r="M66" i="5"/>
  <c r="N49" i="11" s="1"/>
  <c r="N65" i="11"/>
  <c r="N70" i="11" s="1"/>
  <c r="M61" i="5"/>
  <c r="N67" i="11" s="1"/>
  <c r="N71" i="9"/>
  <c r="N74" i="9" s="1"/>
  <c r="M56" i="5"/>
  <c r="N73" i="9" s="1"/>
  <c r="N66" i="9"/>
  <c r="N86" i="9" s="1"/>
  <c r="M52" i="5"/>
  <c r="N68" i="9" s="1"/>
  <c r="N61" i="9"/>
  <c r="N64" i="9" s="1"/>
  <c r="M48" i="5"/>
  <c r="N63" i="9" s="1"/>
  <c r="P59" i="11"/>
  <c r="P62" i="11" s="1"/>
  <c r="K93" i="5"/>
  <c r="P61" i="11" s="1"/>
  <c r="P53" i="11"/>
  <c r="P56" i="11" s="1"/>
  <c r="K88" i="5"/>
  <c r="P55" i="11" s="1"/>
  <c r="P47" i="11"/>
  <c r="P50" i="11" s="1"/>
  <c r="K66" i="5"/>
  <c r="P49" i="11" s="1"/>
  <c r="P65" i="11"/>
  <c r="P70" i="11" s="1"/>
  <c r="K61" i="5"/>
  <c r="P67" i="11" s="1"/>
  <c r="P71" i="9"/>
  <c r="P74" i="9" s="1"/>
  <c r="K56" i="5"/>
  <c r="P73" i="9" s="1"/>
  <c r="P66" i="9"/>
  <c r="P86" i="9" s="1"/>
  <c r="K52" i="5"/>
  <c r="P68" i="9" s="1"/>
  <c r="P61" i="9"/>
  <c r="P64" i="9" s="1"/>
  <c r="K48" i="5"/>
  <c r="P63" i="9" s="1"/>
  <c r="R59" i="11"/>
  <c r="R62" i="11" s="1"/>
  <c r="I93" i="5"/>
  <c r="R61" i="11" s="1"/>
  <c r="R53" i="11"/>
  <c r="R56" i="11" s="1"/>
  <c r="I88" i="5"/>
  <c r="R55" i="11" s="1"/>
  <c r="R47" i="11"/>
  <c r="R50" i="11" s="1"/>
  <c r="I66" i="5"/>
  <c r="R49" i="11" s="1"/>
  <c r="R65" i="11"/>
  <c r="R70" i="11" s="1"/>
  <c r="I61" i="5"/>
  <c r="R67" i="11" s="1"/>
  <c r="R71" i="9"/>
  <c r="R87" i="9" s="1"/>
  <c r="I56" i="5"/>
  <c r="R73" i="9" s="1"/>
  <c r="R66" i="9"/>
  <c r="R86" i="9" s="1"/>
  <c r="I52" i="5"/>
  <c r="R68" i="9" s="1"/>
  <c r="R61" i="9"/>
  <c r="R64" i="9" s="1"/>
  <c r="I48" i="5"/>
  <c r="R63" i="9" s="1"/>
  <c r="T59" i="11"/>
  <c r="T62" i="11" s="1"/>
  <c r="G93" i="5"/>
  <c r="T61" i="11" s="1"/>
  <c r="T53" i="11"/>
  <c r="T56" i="11" s="1"/>
  <c r="G88" i="5"/>
  <c r="T55" i="11" s="1"/>
  <c r="T47" i="11"/>
  <c r="T50" i="11" s="1"/>
  <c r="G66" i="5"/>
  <c r="T49" i="11" s="1"/>
  <c r="T65" i="11"/>
  <c r="T70" i="11" s="1"/>
  <c r="G61" i="5"/>
  <c r="T67" i="11" s="1"/>
  <c r="T71" i="9"/>
  <c r="T87" i="9" s="1"/>
  <c r="G56" i="5"/>
  <c r="T73" i="9" s="1"/>
  <c r="T66" i="9"/>
  <c r="T86" i="9" s="1"/>
  <c r="G52" i="5"/>
  <c r="T68" i="9" s="1"/>
  <c r="T61" i="9"/>
  <c r="T64" i="9" s="1"/>
  <c r="G48" i="5"/>
  <c r="T63" i="9" s="1"/>
  <c r="V59" i="11"/>
  <c r="V62" i="11" s="1"/>
  <c r="E93" i="5"/>
  <c r="V61" i="11" s="1"/>
  <c r="V53" i="11"/>
  <c r="V56" i="11" s="1"/>
  <c r="E88" i="5"/>
  <c r="V55" i="11" s="1"/>
  <c r="V47" i="11"/>
  <c r="V50" i="11" s="1"/>
  <c r="E66" i="5"/>
  <c r="V49" i="11" s="1"/>
  <c r="V65" i="11"/>
  <c r="V70" i="11" s="1"/>
  <c r="E61" i="5"/>
  <c r="V67" i="11" s="1"/>
  <c r="V71" i="9"/>
  <c r="V87" i="9" s="1"/>
  <c r="E56" i="5"/>
  <c r="V73" i="9" s="1"/>
  <c r="V66" i="9"/>
  <c r="V86" i="9" s="1"/>
  <c r="E52" i="5"/>
  <c r="V68" i="9" s="1"/>
  <c r="V61" i="9"/>
  <c r="V64" i="9" s="1"/>
  <c r="E48" i="5"/>
  <c r="V63" i="9" s="1"/>
  <c r="W59" i="11"/>
  <c r="W62" i="11" s="1"/>
  <c r="D93" i="5"/>
  <c r="W61" i="11" s="1"/>
  <c r="W53" i="11"/>
  <c r="W56" i="11" s="1"/>
  <c r="D88" i="5"/>
  <c r="W55" i="11" s="1"/>
  <c r="W47" i="11"/>
  <c r="W50" i="11" s="1"/>
  <c r="D66" i="5"/>
  <c r="W49" i="11" s="1"/>
  <c r="W65" i="11"/>
  <c r="W70" i="11" s="1"/>
  <c r="D61" i="5"/>
  <c r="W67" i="11" s="1"/>
  <c r="W71" i="9"/>
  <c r="W87" i="9" s="1"/>
  <c r="D56" i="5"/>
  <c r="W73" i="9" s="1"/>
  <c r="W66" i="9"/>
  <c r="W69" i="9" s="1"/>
  <c r="D52" i="5"/>
  <c r="W68" i="9" s="1"/>
  <c r="W61" i="9"/>
  <c r="W64" i="9" s="1"/>
  <c r="D48" i="5"/>
  <c r="W63" i="9" s="1"/>
  <c r="B59" i="11"/>
  <c r="B62" i="11" s="1"/>
  <c r="Z93" i="5"/>
  <c r="B61" i="11" s="1"/>
  <c r="B53" i="11"/>
  <c r="B56" i="11" s="1"/>
  <c r="Z88" i="5"/>
  <c r="B55" i="11" s="1"/>
  <c r="B47" i="11"/>
  <c r="B50" i="11" s="1"/>
  <c r="Z66" i="5"/>
  <c r="B49" i="11" s="1"/>
  <c r="B65" i="11"/>
  <c r="B70" i="11" s="1"/>
  <c r="Z61" i="5"/>
  <c r="B67" i="11" s="1"/>
  <c r="B71" i="9"/>
  <c r="B87" i="9" s="1"/>
  <c r="Z56" i="5"/>
  <c r="B73" i="9" s="1"/>
  <c r="B66" i="9"/>
  <c r="B69" i="9" s="1"/>
  <c r="Z52" i="5"/>
  <c r="B68" i="9" s="1"/>
  <c r="B61" i="9"/>
  <c r="B64" i="9" s="1"/>
  <c r="Z48" i="5"/>
  <c r="B63" i="9" s="1"/>
  <c r="C65" i="11"/>
  <c r="C70" i="11" s="1"/>
  <c r="Y61" i="5"/>
  <c r="C67" i="11" s="1"/>
  <c r="P42" i="7"/>
  <c r="P44" i="7" s="1"/>
  <c r="L26" i="5"/>
  <c r="U42" i="7"/>
  <c r="U44" i="7" s="1"/>
  <c r="G26" i="5"/>
  <c r="E53" i="11"/>
  <c r="E56" i="11" s="1"/>
  <c r="W88" i="5"/>
  <c r="E55" i="11" s="1"/>
  <c r="E47" i="11"/>
  <c r="E50" i="11" s="1"/>
  <c r="W66" i="5"/>
  <c r="E49" i="11" s="1"/>
  <c r="E71" i="9"/>
  <c r="E87" i="9" s="1"/>
  <c r="W56" i="5"/>
  <c r="E73" i="9" s="1"/>
  <c r="V42" i="7"/>
  <c r="V44" i="7" s="1"/>
  <c r="F26" i="5"/>
  <c r="F42" i="7"/>
  <c r="F44" i="7" s="1"/>
  <c r="V26" i="5"/>
  <c r="S42" i="7"/>
  <c r="S44" i="7" s="1"/>
  <c r="I26" i="5"/>
  <c r="C42" i="7"/>
  <c r="C44" i="7" s="1"/>
  <c r="Y26" i="5"/>
  <c r="M35" i="5"/>
  <c r="N68" i="8" s="1"/>
  <c r="K75" i="5"/>
  <c r="P68" i="10" s="1"/>
  <c r="K35" i="5"/>
  <c r="P68" i="8" s="1"/>
  <c r="I75" i="5"/>
  <c r="R68" i="10" s="1"/>
  <c r="I35" i="5"/>
  <c r="R68" i="8" s="1"/>
  <c r="G75" i="5"/>
  <c r="T68" i="10" s="1"/>
  <c r="G35" i="5"/>
  <c r="T68" i="8" s="1"/>
  <c r="E75" i="5"/>
  <c r="V68" i="10" s="1"/>
  <c r="E35" i="5"/>
  <c r="V68" i="8" s="1"/>
  <c r="D75" i="5"/>
  <c r="W68" i="10" s="1"/>
  <c r="D35" i="5"/>
  <c r="W68" i="8" s="1"/>
  <c r="Z75" i="5"/>
  <c r="B68" i="10" s="1"/>
  <c r="Z35" i="5"/>
  <c r="B68" i="8" s="1"/>
  <c r="D59" i="11"/>
  <c r="D62" i="11" s="1"/>
  <c r="X93" i="5"/>
  <c r="D61" i="11" s="1"/>
  <c r="D53" i="11"/>
  <c r="D56" i="11" s="1"/>
  <c r="X88" i="5"/>
  <c r="D55" i="11" s="1"/>
  <c r="X71" i="5"/>
  <c r="D63" i="10" s="1"/>
  <c r="D47" i="11"/>
  <c r="D50" i="11" s="1"/>
  <c r="X66" i="5"/>
  <c r="D49" i="11" s="1"/>
  <c r="D65" i="11"/>
  <c r="D70" i="11" s="1"/>
  <c r="X61" i="5"/>
  <c r="D67" i="11" s="1"/>
  <c r="D71" i="9"/>
  <c r="D87" i="9" s="1"/>
  <c r="X56" i="5"/>
  <c r="D73" i="9" s="1"/>
  <c r="D66" i="9"/>
  <c r="D86" i="9" s="1"/>
  <c r="X52" i="5"/>
  <c r="D68" i="9" s="1"/>
  <c r="D61" i="9"/>
  <c r="D64" i="9" s="1"/>
  <c r="X48" i="5"/>
  <c r="D63" i="9" s="1"/>
  <c r="X31" i="5"/>
  <c r="D63" i="8" s="1"/>
  <c r="V83" i="5"/>
  <c r="F78" i="10" s="1"/>
  <c r="V43" i="5"/>
  <c r="F78" i="8" s="1"/>
  <c r="T83" i="5"/>
  <c r="H78" i="10" s="1"/>
  <c r="T43" i="5"/>
  <c r="H78" i="8" s="1"/>
  <c r="R93" i="5"/>
  <c r="R75" i="5"/>
  <c r="R56" i="5"/>
  <c r="R39" i="5"/>
  <c r="P79" i="5"/>
  <c r="K73" i="10" s="1"/>
  <c r="P39" i="5"/>
  <c r="K73" i="8" s="1"/>
  <c r="N79" i="5"/>
  <c r="M73" i="10" s="1"/>
  <c r="N39" i="5"/>
  <c r="M73" i="8" s="1"/>
  <c r="L79" i="5"/>
  <c r="O73" i="10" s="1"/>
  <c r="L39" i="5"/>
  <c r="O73" i="8" s="1"/>
  <c r="J79" i="5"/>
  <c r="Q73" i="10" s="1"/>
  <c r="J39" i="5"/>
  <c r="Q73" i="8" s="1"/>
  <c r="H79" i="5"/>
  <c r="S73" i="10" s="1"/>
  <c r="H39" i="5"/>
  <c r="S73" i="8" s="1"/>
  <c r="F79" i="5"/>
  <c r="U73" i="10" s="1"/>
  <c r="F39" i="5"/>
  <c r="U73" i="8" s="1"/>
  <c r="S87" i="9"/>
  <c r="C86" i="9"/>
  <c r="Y69" i="11"/>
  <c r="Q40" i="11"/>
  <c r="X69" i="11"/>
  <c r="S40" i="11"/>
  <c r="N56" i="11"/>
  <c r="C71" i="11"/>
  <c r="D71" i="11"/>
  <c r="E71" i="11"/>
  <c r="G71" i="11"/>
  <c r="I71" i="11"/>
  <c r="J71" i="11"/>
  <c r="L71" i="11"/>
  <c r="N71" i="11"/>
  <c r="P71" i="11"/>
  <c r="R71" i="11"/>
  <c r="T71" i="11"/>
  <c r="V71" i="11"/>
  <c r="W71" i="11"/>
  <c r="B71" i="11"/>
  <c r="F71" i="11"/>
  <c r="H71" i="11"/>
  <c r="K71" i="11"/>
  <c r="I41" i="11"/>
  <c r="M62" i="11"/>
  <c r="N41" i="11"/>
  <c r="D41" i="11"/>
  <c r="M71" i="11"/>
  <c r="O71" i="11"/>
  <c r="O72" i="11"/>
  <c r="Q71" i="11"/>
  <c r="S71" i="11"/>
  <c r="U71" i="11"/>
  <c r="E69" i="9"/>
  <c r="I48" i="9"/>
  <c r="D48" i="9"/>
  <c r="D40" i="9"/>
  <c r="C105" i="5"/>
  <c r="X81" i="10" s="1"/>
  <c r="C104" i="5"/>
  <c r="X80" i="10" s="1"/>
  <c r="B105" i="5"/>
  <c r="Y81" i="10" s="1"/>
  <c r="B104" i="5"/>
  <c r="Y80" i="10" s="1"/>
  <c r="D51" i="10"/>
  <c r="I51" i="10"/>
  <c r="N38" i="11"/>
  <c r="I38" i="11"/>
  <c r="B83" i="9"/>
  <c r="B82" i="9"/>
  <c r="D84" i="9"/>
  <c r="D85" i="9"/>
  <c r="F82" i="9"/>
  <c r="F83" i="9"/>
  <c r="H84" i="9"/>
  <c r="H85" i="9"/>
  <c r="K82" i="9"/>
  <c r="K83" i="9"/>
  <c r="I51" i="9"/>
  <c r="I55" i="9" s="1"/>
  <c r="M84" i="9"/>
  <c r="M85" i="9"/>
  <c r="O82" i="9"/>
  <c r="O83" i="9"/>
  <c r="Q84" i="9"/>
  <c r="Q85" i="9"/>
  <c r="S82" i="9"/>
  <c r="S83" i="9"/>
  <c r="U84" i="9"/>
  <c r="U85" i="9"/>
  <c r="C82" i="9"/>
  <c r="C83" i="9"/>
  <c r="E84" i="9"/>
  <c r="E85" i="9"/>
  <c r="G82" i="9"/>
  <c r="G83" i="9"/>
  <c r="I84" i="9"/>
  <c r="I85" i="9"/>
  <c r="J82" i="9"/>
  <c r="J83" i="9"/>
  <c r="L84" i="9"/>
  <c r="L85" i="9"/>
  <c r="N82" i="9"/>
  <c r="N83" i="9"/>
  <c r="P84" i="9"/>
  <c r="P85" i="9"/>
  <c r="R82" i="9"/>
  <c r="R83" i="9"/>
  <c r="T84" i="9"/>
  <c r="T85" i="9"/>
  <c r="V82" i="9"/>
  <c r="V83" i="9"/>
  <c r="W84" i="9"/>
  <c r="W85" i="9"/>
  <c r="D82" i="9"/>
  <c r="D83" i="9"/>
  <c r="F84" i="9"/>
  <c r="F85" i="9"/>
  <c r="H82" i="9"/>
  <c r="H83" i="9"/>
  <c r="K84" i="9"/>
  <c r="K85" i="9"/>
  <c r="D50" i="9"/>
  <c r="D51" i="9" s="1"/>
  <c r="D55" i="9" s="1"/>
  <c r="M82" i="9"/>
  <c r="M83" i="9"/>
  <c r="O84" i="9"/>
  <c r="O85" i="9"/>
  <c r="Q82" i="9"/>
  <c r="Q83" i="9"/>
  <c r="S84" i="9"/>
  <c r="S85" i="9"/>
  <c r="U82" i="9"/>
  <c r="U83" i="9"/>
  <c r="C84" i="9"/>
  <c r="C85" i="9"/>
  <c r="E82" i="9"/>
  <c r="E83" i="9"/>
  <c r="G84" i="9"/>
  <c r="G85" i="9"/>
  <c r="I82" i="9"/>
  <c r="I83" i="9"/>
  <c r="J84" i="9"/>
  <c r="J85" i="9"/>
  <c r="L82" i="9"/>
  <c r="L83" i="9"/>
  <c r="N84" i="9"/>
  <c r="N85" i="9"/>
  <c r="P82" i="9"/>
  <c r="P83" i="9"/>
  <c r="R84" i="9"/>
  <c r="R85" i="9"/>
  <c r="T82" i="9"/>
  <c r="T83" i="9"/>
  <c r="V84" i="9"/>
  <c r="V85" i="9"/>
  <c r="W82" i="9"/>
  <c r="W83" i="9"/>
  <c r="B85" i="9"/>
  <c r="B84" i="9"/>
  <c r="I46" i="10"/>
  <c r="D46" i="10"/>
  <c r="I46" i="8"/>
  <c r="D46" i="8"/>
  <c r="I45" i="9"/>
  <c r="D45" i="9"/>
  <c r="X45" i="11"/>
  <c r="S35" i="11" s="1"/>
  <c r="I17" i="6" s="1"/>
  <c r="C96" i="5"/>
  <c r="X76" i="9" s="1"/>
  <c r="C97" i="5"/>
  <c r="X77" i="9" s="1"/>
  <c r="C98" i="5"/>
  <c r="X78" i="9" s="1"/>
  <c r="C99" i="5"/>
  <c r="X79" i="9" s="1"/>
  <c r="C100" i="5"/>
  <c r="X80" i="9" s="1"/>
  <c r="C101" i="5"/>
  <c r="X81" i="9" s="1"/>
  <c r="G46" i="10"/>
  <c r="B46" i="10"/>
  <c r="G46" i="8"/>
  <c r="B46" i="8"/>
  <c r="G45" i="9"/>
  <c r="B45" i="9"/>
  <c r="Y45" i="11"/>
  <c r="Q35" i="11" s="1"/>
  <c r="B100" i="5"/>
  <c r="Y80" i="9" s="1"/>
  <c r="G52" i="9" s="1"/>
  <c r="H52" i="9" s="1"/>
  <c r="B98" i="5"/>
  <c r="Y78" i="9" s="1"/>
  <c r="B53" i="9" s="1"/>
  <c r="C53" i="9" s="1"/>
  <c r="B96" i="5"/>
  <c r="Y76" i="9" s="1"/>
  <c r="B101" i="5"/>
  <c r="Y81" i="9" s="1"/>
  <c r="G53" i="9" s="1"/>
  <c r="H53" i="9" s="1"/>
  <c r="B99" i="5"/>
  <c r="Y79" i="9" s="1"/>
  <c r="B97" i="5"/>
  <c r="Y77" i="9" s="1"/>
  <c r="B52" i="9" s="1"/>
  <c r="C52" i="9" s="1"/>
  <c r="I42" i="11"/>
  <c r="B24" i="6"/>
  <c r="G10" i="6"/>
  <c r="G3" i="6"/>
  <c r="B17" i="6"/>
  <c r="B37" i="9"/>
  <c r="G24" i="6"/>
  <c r="B38" i="10"/>
  <c r="I10" i="6"/>
  <c r="I3" i="6"/>
  <c r="D24" i="6"/>
  <c r="I24" i="6"/>
  <c r="D38" i="10"/>
  <c r="D17" i="6"/>
  <c r="D37" i="9"/>
  <c r="B10" i="6"/>
  <c r="B3" i="6"/>
  <c r="D3" i="6"/>
  <c r="D10" i="6"/>
  <c r="D38" i="8"/>
  <c r="B38" i="8"/>
  <c r="C77" i="10"/>
  <c r="C75" i="10"/>
  <c r="C72" i="10"/>
  <c r="C70" i="10"/>
  <c r="C67" i="10"/>
  <c r="C65" i="10"/>
  <c r="C62" i="10"/>
  <c r="C60" i="10"/>
  <c r="E76" i="10"/>
  <c r="E71" i="10"/>
  <c r="E84" i="10" s="1"/>
  <c r="E66" i="10"/>
  <c r="E82" i="10" s="1"/>
  <c r="E61" i="10"/>
  <c r="G76" i="10"/>
  <c r="G71" i="10"/>
  <c r="G84" i="10" s="1"/>
  <c r="G66" i="10"/>
  <c r="G82" i="10" s="1"/>
  <c r="G61" i="10"/>
  <c r="I76" i="10"/>
  <c r="I71" i="10"/>
  <c r="I84" i="10" s="1"/>
  <c r="I66" i="10"/>
  <c r="I82" i="10" s="1"/>
  <c r="I61" i="10"/>
  <c r="J76" i="10"/>
  <c r="J71" i="10"/>
  <c r="J84" i="10" s="1"/>
  <c r="J66" i="10"/>
  <c r="J82" i="10" s="1"/>
  <c r="J61" i="10"/>
  <c r="L78" i="10"/>
  <c r="L76" i="10"/>
  <c r="L71" i="10"/>
  <c r="L84" i="10" s="1"/>
  <c r="L66" i="10"/>
  <c r="L82" i="10" s="1"/>
  <c r="L61" i="10"/>
  <c r="N78" i="10"/>
  <c r="N76" i="10"/>
  <c r="N71" i="10"/>
  <c r="N84" i="10" s="1"/>
  <c r="N66" i="10"/>
  <c r="N82" i="10" s="1"/>
  <c r="N61" i="10"/>
  <c r="P76" i="10"/>
  <c r="P71" i="10"/>
  <c r="P84" i="10" s="1"/>
  <c r="P66" i="10"/>
  <c r="P82" i="10" s="1"/>
  <c r="P63" i="10"/>
  <c r="P61" i="10"/>
  <c r="R78" i="10"/>
  <c r="R76" i="10"/>
  <c r="R73" i="10"/>
  <c r="R71" i="10"/>
  <c r="R84" i="10" s="1"/>
  <c r="R66" i="10"/>
  <c r="R82" i="10" s="1"/>
  <c r="R63" i="10"/>
  <c r="R61" i="10"/>
  <c r="T78" i="10"/>
  <c r="T76" i="10"/>
  <c r="T71" i="10"/>
  <c r="T84" i="10" s="1"/>
  <c r="T66" i="10"/>
  <c r="T82" i="10" s="1"/>
  <c r="T61" i="10"/>
  <c r="V78" i="10"/>
  <c r="V76" i="10"/>
  <c r="V71" i="10"/>
  <c r="V84" i="10" s="1"/>
  <c r="V66" i="10"/>
  <c r="V82" i="10" s="1"/>
  <c r="V61" i="10"/>
  <c r="W76" i="10"/>
  <c r="W73" i="10"/>
  <c r="W71" i="10"/>
  <c r="W84" i="10" s="1"/>
  <c r="W66" i="10"/>
  <c r="W82" i="10" s="1"/>
  <c r="W61" i="10"/>
  <c r="B78" i="10"/>
  <c r="B76" i="10"/>
  <c r="B71" i="10"/>
  <c r="B84" i="10" s="1"/>
  <c r="B66" i="10"/>
  <c r="B82" i="10" s="1"/>
  <c r="B63" i="10"/>
  <c r="B61" i="10"/>
  <c r="D77" i="10"/>
  <c r="D75" i="10"/>
  <c r="D72" i="10"/>
  <c r="D70" i="10"/>
  <c r="D67" i="10"/>
  <c r="D65" i="10"/>
  <c r="D62" i="10"/>
  <c r="D60" i="10"/>
  <c r="F76" i="10"/>
  <c r="F71" i="10"/>
  <c r="F84" i="10" s="1"/>
  <c r="F66" i="10"/>
  <c r="F82" i="10" s="1"/>
  <c r="F63" i="10"/>
  <c r="F61" i="10"/>
  <c r="H76" i="10"/>
  <c r="H71" i="10"/>
  <c r="H84" i="10" s="1"/>
  <c r="H66" i="10"/>
  <c r="H82" i="10" s="1"/>
  <c r="H61" i="10"/>
  <c r="K76" i="10"/>
  <c r="K71" i="10"/>
  <c r="K84" i="10" s="1"/>
  <c r="K66" i="10"/>
  <c r="K82" i="10" s="1"/>
  <c r="K61" i="10"/>
  <c r="M78" i="10"/>
  <c r="M76" i="10"/>
  <c r="M71" i="10"/>
  <c r="I48" i="10" s="1"/>
  <c r="M66" i="10"/>
  <c r="D48" i="10" s="1"/>
  <c r="M61" i="10"/>
  <c r="D40" i="10" s="1"/>
  <c r="O76" i="10"/>
  <c r="O71" i="10"/>
  <c r="O84" i="10" s="1"/>
  <c r="O66" i="10"/>
  <c r="O82" i="10" s="1"/>
  <c r="O61" i="10"/>
  <c r="Q78" i="10"/>
  <c r="Q76" i="10"/>
  <c r="Q71" i="10"/>
  <c r="Q84" i="10" s="1"/>
  <c r="Q66" i="10"/>
  <c r="Q82" i="10" s="1"/>
  <c r="Q61" i="10"/>
  <c r="S76" i="10"/>
  <c r="S71" i="10"/>
  <c r="S84" i="10" s="1"/>
  <c r="S66" i="10"/>
  <c r="S82" i="10" s="1"/>
  <c r="S61" i="10"/>
  <c r="U76" i="10"/>
  <c r="U71" i="10"/>
  <c r="U84" i="10" s="1"/>
  <c r="U66" i="10"/>
  <c r="U82" i="10" s="1"/>
  <c r="U61" i="10"/>
  <c r="C76" i="10"/>
  <c r="C71" i="10"/>
  <c r="C84" i="10" s="1"/>
  <c r="C68" i="10"/>
  <c r="C66" i="10"/>
  <c r="C82" i="10" s="1"/>
  <c r="C61" i="10"/>
  <c r="E77" i="10"/>
  <c r="E75" i="10"/>
  <c r="E72" i="10"/>
  <c r="E70" i="10"/>
  <c r="E67" i="10"/>
  <c r="E65" i="10"/>
  <c r="E62" i="10"/>
  <c r="E60" i="10"/>
  <c r="G77" i="10"/>
  <c r="G75" i="10"/>
  <c r="G72" i="10"/>
  <c r="G70" i="10"/>
  <c r="G67" i="10"/>
  <c r="G65" i="10"/>
  <c r="G62" i="10"/>
  <c r="G60" i="10"/>
  <c r="I77" i="10"/>
  <c r="I75" i="10"/>
  <c r="I72" i="10"/>
  <c r="I70" i="10"/>
  <c r="I67" i="10"/>
  <c r="I65" i="10"/>
  <c r="I62" i="10"/>
  <c r="I60" i="10"/>
  <c r="J77" i="10"/>
  <c r="J75" i="10"/>
  <c r="J72" i="10"/>
  <c r="J70" i="10"/>
  <c r="J67" i="10"/>
  <c r="J65" i="10"/>
  <c r="J62" i="10"/>
  <c r="J60" i="10"/>
  <c r="L77" i="10"/>
  <c r="L75" i="10"/>
  <c r="L72" i="10"/>
  <c r="L70" i="10"/>
  <c r="L67" i="10"/>
  <c r="L65" i="10"/>
  <c r="L62" i="10"/>
  <c r="L60" i="10"/>
  <c r="N77" i="10"/>
  <c r="N75" i="10"/>
  <c r="N72" i="10"/>
  <c r="N70" i="10"/>
  <c r="N67" i="10"/>
  <c r="N65" i="10"/>
  <c r="N62" i="10"/>
  <c r="N60" i="10"/>
  <c r="P77" i="10"/>
  <c r="P75" i="10"/>
  <c r="P72" i="10"/>
  <c r="P70" i="10"/>
  <c r="P67" i="10"/>
  <c r="P65" i="10"/>
  <c r="P62" i="10"/>
  <c r="P60" i="10"/>
  <c r="R77" i="10"/>
  <c r="R75" i="10"/>
  <c r="R72" i="10"/>
  <c r="R70" i="10"/>
  <c r="R67" i="10"/>
  <c r="R65" i="10"/>
  <c r="R62" i="10"/>
  <c r="R60" i="10"/>
  <c r="T77" i="10"/>
  <c r="T75" i="10"/>
  <c r="T72" i="10"/>
  <c r="T70" i="10"/>
  <c r="T67" i="10"/>
  <c r="T65" i="10"/>
  <c r="T62" i="10"/>
  <c r="T60" i="10"/>
  <c r="V77" i="10"/>
  <c r="V75" i="10"/>
  <c r="V72" i="10"/>
  <c r="V70" i="10"/>
  <c r="V67" i="10"/>
  <c r="V65" i="10"/>
  <c r="V62" i="10"/>
  <c r="V60" i="10"/>
  <c r="W77" i="10"/>
  <c r="W75" i="10"/>
  <c r="W72" i="10"/>
  <c r="W70" i="10"/>
  <c r="W67" i="10"/>
  <c r="W65" i="10"/>
  <c r="W62" i="10"/>
  <c r="W60" i="10"/>
  <c r="B77" i="10"/>
  <c r="B75" i="10"/>
  <c r="B72" i="10"/>
  <c r="B70" i="10"/>
  <c r="B67" i="10"/>
  <c r="B65" i="10"/>
  <c r="B62" i="10"/>
  <c r="B60" i="10"/>
  <c r="D76" i="10"/>
  <c r="D73" i="10"/>
  <c r="D71" i="10"/>
  <c r="D84" i="10" s="1"/>
  <c r="D66" i="10"/>
  <c r="D82" i="10" s="1"/>
  <c r="D61" i="10"/>
  <c r="F77" i="10"/>
  <c r="F75" i="10"/>
  <c r="F72" i="10"/>
  <c r="F70" i="10"/>
  <c r="F67" i="10"/>
  <c r="F65" i="10"/>
  <c r="F62" i="10"/>
  <c r="F60" i="10"/>
  <c r="H77" i="10"/>
  <c r="H75" i="10"/>
  <c r="H72" i="10"/>
  <c r="H70" i="10"/>
  <c r="H67" i="10"/>
  <c r="H65" i="10"/>
  <c r="H62" i="10"/>
  <c r="H60" i="10"/>
  <c r="K77" i="10"/>
  <c r="K75" i="10"/>
  <c r="K72" i="10"/>
  <c r="K70" i="10"/>
  <c r="K67" i="10"/>
  <c r="K65" i="10"/>
  <c r="K62" i="10"/>
  <c r="K60" i="10"/>
  <c r="M77" i="10"/>
  <c r="M75" i="10"/>
  <c r="M72" i="10"/>
  <c r="M70" i="10"/>
  <c r="I47" i="10" s="1"/>
  <c r="M67" i="10"/>
  <c r="M65" i="10"/>
  <c r="D47" i="10" s="1"/>
  <c r="M62" i="10"/>
  <c r="M60" i="10"/>
  <c r="D39" i="10" s="1"/>
  <c r="I25" i="6" s="1"/>
  <c r="R26" i="6" s="1"/>
  <c r="O77" i="10"/>
  <c r="O75" i="10"/>
  <c r="O72" i="10"/>
  <c r="O70" i="10"/>
  <c r="O67" i="10"/>
  <c r="O65" i="10"/>
  <c r="O62" i="10"/>
  <c r="O60" i="10"/>
  <c r="Q77" i="10"/>
  <c r="Q75" i="10"/>
  <c r="Q72" i="10"/>
  <c r="Q70" i="10"/>
  <c r="Q67" i="10"/>
  <c r="Q65" i="10"/>
  <c r="Q62" i="10"/>
  <c r="Q60" i="10"/>
  <c r="S77" i="10"/>
  <c r="S75" i="10"/>
  <c r="S72" i="10"/>
  <c r="S70" i="10"/>
  <c r="S67" i="10"/>
  <c r="S65" i="10"/>
  <c r="S62" i="10"/>
  <c r="S60" i="10"/>
  <c r="U77" i="10"/>
  <c r="U75" i="10"/>
  <c r="U72" i="10"/>
  <c r="U70" i="10"/>
  <c r="U67" i="10"/>
  <c r="U65" i="10"/>
  <c r="U62" i="10"/>
  <c r="U60" i="10"/>
  <c r="Y59" i="8"/>
  <c r="Y59" i="10"/>
  <c r="Y59" i="9"/>
  <c r="X59" i="8"/>
  <c r="X59" i="10"/>
  <c r="X59" i="9"/>
  <c r="C76" i="8"/>
  <c r="C71" i="8"/>
  <c r="C66" i="8"/>
  <c r="C61" i="8"/>
  <c r="E77" i="8"/>
  <c r="E75" i="8"/>
  <c r="E72" i="8"/>
  <c r="E70" i="8"/>
  <c r="E67" i="8"/>
  <c r="E65" i="8"/>
  <c r="E62" i="8"/>
  <c r="E60" i="8"/>
  <c r="G77" i="8"/>
  <c r="G75" i="8"/>
  <c r="G72" i="8"/>
  <c r="G70" i="8"/>
  <c r="G67" i="8"/>
  <c r="G65" i="8"/>
  <c r="G62" i="8"/>
  <c r="G60" i="8"/>
  <c r="I77" i="8"/>
  <c r="I75" i="8"/>
  <c r="I72" i="8"/>
  <c r="I70" i="8"/>
  <c r="I67" i="8"/>
  <c r="I65" i="8"/>
  <c r="I62" i="8"/>
  <c r="I60" i="8"/>
  <c r="J77" i="8"/>
  <c r="J75" i="8"/>
  <c r="J72" i="8"/>
  <c r="J70" i="8"/>
  <c r="J67" i="8"/>
  <c r="J65" i="8"/>
  <c r="J62" i="8"/>
  <c r="J60" i="8"/>
  <c r="L77" i="8"/>
  <c r="L75" i="8"/>
  <c r="L72" i="8"/>
  <c r="L70" i="8"/>
  <c r="L67" i="8"/>
  <c r="L65" i="8"/>
  <c r="L62" i="8"/>
  <c r="L60" i="8"/>
  <c r="N77" i="8"/>
  <c r="N75" i="8"/>
  <c r="N72" i="8"/>
  <c r="N70" i="8"/>
  <c r="N67" i="8"/>
  <c r="N65" i="8"/>
  <c r="N62" i="8"/>
  <c r="N60" i="8"/>
  <c r="P77" i="8"/>
  <c r="P75" i="8"/>
  <c r="P72" i="8"/>
  <c r="P70" i="8"/>
  <c r="P67" i="8"/>
  <c r="P65" i="8"/>
  <c r="P62" i="8"/>
  <c r="P60" i="8"/>
  <c r="R77" i="8"/>
  <c r="R75" i="8"/>
  <c r="R72" i="8"/>
  <c r="R70" i="8"/>
  <c r="R67" i="8"/>
  <c r="R65" i="8"/>
  <c r="R62" i="8"/>
  <c r="R60" i="8"/>
  <c r="T77" i="8"/>
  <c r="T75" i="8"/>
  <c r="T72" i="8"/>
  <c r="T70" i="8"/>
  <c r="T67" i="8"/>
  <c r="T65" i="8"/>
  <c r="T62" i="8"/>
  <c r="T60" i="8"/>
  <c r="V77" i="8"/>
  <c r="V75" i="8"/>
  <c r="V72" i="8"/>
  <c r="V70" i="8"/>
  <c r="V67" i="8"/>
  <c r="V65" i="8"/>
  <c r="V62" i="8"/>
  <c r="V60" i="8"/>
  <c r="W77" i="8"/>
  <c r="W75" i="8"/>
  <c r="W72" i="8"/>
  <c r="W70" i="8"/>
  <c r="W67" i="8"/>
  <c r="W65" i="8"/>
  <c r="W62" i="8"/>
  <c r="W60" i="8"/>
  <c r="B77" i="8"/>
  <c r="B75" i="8"/>
  <c r="B72" i="8"/>
  <c r="B70" i="8"/>
  <c r="B67" i="8"/>
  <c r="B65" i="8"/>
  <c r="B62" i="8"/>
  <c r="B60" i="8"/>
  <c r="D76" i="8"/>
  <c r="D71" i="8"/>
  <c r="D66" i="8"/>
  <c r="D61" i="8"/>
  <c r="F77" i="8"/>
  <c r="F75" i="8"/>
  <c r="F72" i="8"/>
  <c r="F70" i="8"/>
  <c r="F67" i="8"/>
  <c r="F65" i="8"/>
  <c r="F62" i="8"/>
  <c r="F60" i="8"/>
  <c r="H77" i="8"/>
  <c r="H75" i="8"/>
  <c r="H72" i="8"/>
  <c r="H70" i="8"/>
  <c r="H67" i="8"/>
  <c r="H65" i="8"/>
  <c r="H62" i="8"/>
  <c r="H60" i="8"/>
  <c r="K77" i="8"/>
  <c r="K75" i="8"/>
  <c r="K72" i="8"/>
  <c r="K70" i="8"/>
  <c r="K67" i="8"/>
  <c r="K65" i="8"/>
  <c r="K62" i="8"/>
  <c r="K60" i="8"/>
  <c r="M77" i="8"/>
  <c r="M75" i="8"/>
  <c r="M72" i="8"/>
  <c r="M70" i="8"/>
  <c r="I47" i="8" s="1"/>
  <c r="M67" i="8"/>
  <c r="M65" i="8"/>
  <c r="D47" i="8" s="1"/>
  <c r="M62" i="8"/>
  <c r="M60" i="8"/>
  <c r="D39" i="8" s="1"/>
  <c r="D11" i="6" s="1"/>
  <c r="R24" i="6" s="1"/>
  <c r="O77" i="8"/>
  <c r="O75" i="8"/>
  <c r="O72" i="8"/>
  <c r="O70" i="8"/>
  <c r="O67" i="8"/>
  <c r="O65" i="8"/>
  <c r="O62" i="8"/>
  <c r="O60" i="8"/>
  <c r="Q77" i="8"/>
  <c r="Q75" i="8"/>
  <c r="Q72" i="8"/>
  <c r="Q70" i="8"/>
  <c r="Q67" i="8"/>
  <c r="Q65" i="8"/>
  <c r="Q62" i="8"/>
  <c r="Q60" i="8"/>
  <c r="S77" i="8"/>
  <c r="S75" i="8"/>
  <c r="S72" i="8"/>
  <c r="S70" i="8"/>
  <c r="S67" i="8"/>
  <c r="S65" i="8"/>
  <c r="S62" i="8"/>
  <c r="S60" i="8"/>
  <c r="U77" i="8"/>
  <c r="U75" i="8"/>
  <c r="U72" i="8"/>
  <c r="U70" i="8"/>
  <c r="U67" i="8"/>
  <c r="U65" i="8"/>
  <c r="U62" i="8"/>
  <c r="U60" i="8"/>
  <c r="C77" i="8"/>
  <c r="C75" i="8"/>
  <c r="C72" i="8"/>
  <c r="C70" i="8"/>
  <c r="C67" i="8"/>
  <c r="C65" i="8"/>
  <c r="C62" i="8"/>
  <c r="C60" i="8"/>
  <c r="E76" i="8"/>
  <c r="E71" i="8"/>
  <c r="E66" i="8"/>
  <c r="E63" i="8"/>
  <c r="E61" i="8"/>
  <c r="G78" i="8"/>
  <c r="G76" i="8"/>
  <c r="G71" i="8"/>
  <c r="G66" i="8"/>
  <c r="G61" i="8"/>
  <c r="I76" i="8"/>
  <c r="I71" i="8"/>
  <c r="I66" i="8"/>
  <c r="I61" i="8"/>
  <c r="J76" i="8"/>
  <c r="J71" i="8"/>
  <c r="J68" i="8"/>
  <c r="J66" i="8"/>
  <c r="J61" i="8"/>
  <c r="L76" i="8"/>
  <c r="L71" i="8"/>
  <c r="L66" i="8"/>
  <c r="L61" i="8"/>
  <c r="N76" i="8"/>
  <c r="N71" i="8"/>
  <c r="N66" i="8"/>
  <c r="N61" i="8"/>
  <c r="P76" i="8"/>
  <c r="P73" i="8"/>
  <c r="P71" i="8"/>
  <c r="P66" i="8"/>
  <c r="P61" i="8"/>
  <c r="R76" i="8"/>
  <c r="R71" i="8"/>
  <c r="R66" i="8"/>
  <c r="R61" i="8"/>
  <c r="T78" i="8"/>
  <c r="T76" i="8"/>
  <c r="T71" i="8"/>
  <c r="T66" i="8"/>
  <c r="T61" i="8"/>
  <c r="V76" i="8"/>
  <c r="V71" i="8"/>
  <c r="V66" i="8"/>
  <c r="V61" i="8"/>
  <c r="W76" i="8"/>
  <c r="W71" i="8"/>
  <c r="W66" i="8"/>
  <c r="W61" i="8"/>
  <c r="B76" i="8"/>
  <c r="B71" i="8"/>
  <c r="B66" i="8"/>
  <c r="B61" i="8"/>
  <c r="D77" i="8"/>
  <c r="D75" i="8"/>
  <c r="D72" i="8"/>
  <c r="D70" i="8"/>
  <c r="D67" i="8"/>
  <c r="D65" i="8"/>
  <c r="D62" i="8"/>
  <c r="D60" i="8"/>
  <c r="F76" i="8"/>
  <c r="F71" i="8"/>
  <c r="F66" i="8"/>
  <c r="F61" i="8"/>
  <c r="H76" i="8"/>
  <c r="H71" i="8"/>
  <c r="H66" i="8"/>
  <c r="H61" i="8"/>
  <c r="K76" i="8"/>
  <c r="K71" i="8"/>
  <c r="K66" i="8"/>
  <c r="K63" i="8"/>
  <c r="K61" i="8"/>
  <c r="M76" i="8"/>
  <c r="M71" i="8"/>
  <c r="I48" i="8" s="1"/>
  <c r="M66" i="8"/>
  <c r="D48" i="8" s="1"/>
  <c r="M61" i="8"/>
  <c r="D40" i="8" s="1"/>
  <c r="O76" i="8"/>
  <c r="O71" i="8"/>
  <c r="O66" i="8"/>
  <c r="O61" i="8"/>
  <c r="Q76" i="8"/>
  <c r="Q71" i="8"/>
  <c r="Q66" i="8"/>
  <c r="Q61" i="8"/>
  <c r="S78" i="8"/>
  <c r="S76" i="8"/>
  <c r="S71" i="8"/>
  <c r="S66" i="8"/>
  <c r="S63" i="8"/>
  <c r="S61" i="8"/>
  <c r="U76" i="8"/>
  <c r="U71" i="8"/>
  <c r="U66" i="8"/>
  <c r="U61" i="8"/>
  <c r="B44" i="7"/>
  <c r="Q44" i="7"/>
  <c r="C28" i="5"/>
  <c r="C29" i="5"/>
  <c r="C30" i="5"/>
  <c r="C32" i="5"/>
  <c r="C33" i="5"/>
  <c r="C34" i="5"/>
  <c r="C36" i="5"/>
  <c r="C37" i="5"/>
  <c r="C38" i="5"/>
  <c r="C40" i="5"/>
  <c r="C41" i="5"/>
  <c r="C42" i="5"/>
  <c r="C45" i="5"/>
  <c r="X60" i="9" s="1"/>
  <c r="C46" i="5"/>
  <c r="C47" i="5"/>
  <c r="X62" i="9" s="1"/>
  <c r="C49" i="5"/>
  <c r="X65" i="9" s="1"/>
  <c r="C50" i="5"/>
  <c r="C51" i="5"/>
  <c r="X67" i="9" s="1"/>
  <c r="C53" i="5"/>
  <c r="X70" i="9" s="1"/>
  <c r="C54" i="5"/>
  <c r="C55" i="5"/>
  <c r="X72" i="9" s="1"/>
  <c r="C58" i="5"/>
  <c r="X64" i="11" s="1"/>
  <c r="S36" i="11" s="1"/>
  <c r="I18" i="6" s="1"/>
  <c r="C59" i="5"/>
  <c r="C60" i="5"/>
  <c r="X66" i="11" s="1"/>
  <c r="C63" i="5"/>
  <c r="X46" i="11" s="1"/>
  <c r="C64" i="5"/>
  <c r="C65" i="5"/>
  <c r="X48" i="11" s="1"/>
  <c r="C68" i="5"/>
  <c r="C69" i="5"/>
  <c r="C70" i="5"/>
  <c r="C72" i="5"/>
  <c r="C73" i="5"/>
  <c r="C74" i="5"/>
  <c r="C76" i="5"/>
  <c r="C77" i="5"/>
  <c r="C78" i="5"/>
  <c r="C80" i="5"/>
  <c r="C81" i="5"/>
  <c r="C82" i="5"/>
  <c r="C85" i="5"/>
  <c r="X52" i="11" s="1"/>
  <c r="C86" i="5"/>
  <c r="C87" i="5"/>
  <c r="X54" i="11" s="1"/>
  <c r="C90" i="5"/>
  <c r="X58" i="11" s="1"/>
  <c r="C91" i="5"/>
  <c r="C92" i="5"/>
  <c r="X60" i="11" s="1"/>
  <c r="K44" i="7"/>
  <c r="Z40" i="7"/>
  <c r="B92" i="5"/>
  <c r="Y60" i="11" s="1"/>
  <c r="B90" i="5"/>
  <c r="Y58" i="11" s="1"/>
  <c r="G39" i="11" s="1"/>
  <c r="B87" i="5"/>
  <c r="Y54" i="11" s="1"/>
  <c r="B85" i="5"/>
  <c r="Y52" i="11" s="1"/>
  <c r="L39" i="11" s="1"/>
  <c r="B82" i="5"/>
  <c r="B80" i="5"/>
  <c r="B78" i="5"/>
  <c r="B76" i="5"/>
  <c r="B74" i="5"/>
  <c r="B72" i="5"/>
  <c r="B70" i="5"/>
  <c r="B65" i="5"/>
  <c r="Y48" i="11" s="1"/>
  <c r="B63" i="5"/>
  <c r="Y46" i="11" s="1"/>
  <c r="B39" i="11" s="1"/>
  <c r="B58" i="5"/>
  <c r="Y64" i="11" s="1"/>
  <c r="Q36" i="11" s="1"/>
  <c r="B53" i="5"/>
  <c r="Y70" i="9" s="1"/>
  <c r="G46" i="9" s="1"/>
  <c r="H46" i="9" s="1"/>
  <c r="B49" i="5"/>
  <c r="Y65" i="9" s="1"/>
  <c r="B46" i="9" s="1"/>
  <c r="C46" i="9" s="1"/>
  <c r="B45" i="5"/>
  <c r="Y60" i="9" s="1"/>
  <c r="B38" i="9" s="1"/>
  <c r="B40" i="5"/>
  <c r="B36" i="5"/>
  <c r="B32" i="5"/>
  <c r="B91" i="5"/>
  <c r="B86" i="5"/>
  <c r="B81" i="5"/>
  <c r="B77" i="5"/>
  <c r="B73" i="5"/>
  <c r="B69" i="5"/>
  <c r="B64" i="5"/>
  <c r="B59" i="5"/>
  <c r="B54" i="5"/>
  <c r="B50" i="5"/>
  <c r="B46" i="5"/>
  <c r="B41" i="5"/>
  <c r="B37" i="5"/>
  <c r="B33" i="5"/>
  <c r="B30" i="5"/>
  <c r="B28" i="5"/>
  <c r="B68" i="5"/>
  <c r="B60" i="5"/>
  <c r="Y66" i="11" s="1"/>
  <c r="B55" i="5"/>
  <c r="Y72" i="9" s="1"/>
  <c r="B51" i="5"/>
  <c r="Y67" i="9" s="1"/>
  <c r="B47" i="5"/>
  <c r="Y62" i="9" s="1"/>
  <c r="B42" i="5"/>
  <c r="B38" i="5"/>
  <c r="B34" i="5"/>
  <c r="B29" i="5"/>
  <c r="Y40" i="7"/>
  <c r="C23" i="5"/>
  <c r="Y41" i="7" s="1"/>
  <c r="C25" i="5"/>
  <c r="Y43" i="7" s="1"/>
  <c r="C24" i="5"/>
  <c r="B23" i="5"/>
  <c r="Z41" i="7" s="1"/>
  <c r="B4" i="6" s="1"/>
  <c r="B25" i="5"/>
  <c r="Z43" i="7" s="1"/>
  <c r="B6" i="6" s="1"/>
  <c r="B24" i="5"/>
  <c r="G74" i="9" l="1"/>
  <c r="F74" i="9"/>
  <c r="D42" i="9"/>
  <c r="I57" i="9"/>
  <c r="D42" i="11"/>
  <c r="D50" i="8"/>
  <c r="U69" i="9"/>
  <c r="D43" i="11"/>
  <c r="N44" i="7"/>
  <c r="W86" i="9"/>
  <c r="N42" i="11"/>
  <c r="V74" i="9"/>
  <c r="C87" i="9"/>
  <c r="H86" i="9"/>
  <c r="D74" i="9"/>
  <c r="P69" i="9"/>
  <c r="R74" i="9"/>
  <c r="L69" i="9"/>
  <c r="N43" i="11"/>
  <c r="H72" i="11"/>
  <c r="I86" i="9"/>
  <c r="B74" i="9"/>
  <c r="T69" i="9"/>
  <c r="J74" i="9"/>
  <c r="N87" i="9"/>
  <c r="M56" i="11"/>
  <c r="O86" i="9"/>
  <c r="P87" i="9"/>
  <c r="I50" i="8"/>
  <c r="F69" i="9"/>
  <c r="V69" i="9"/>
  <c r="T74" i="9"/>
  <c r="N69" i="9"/>
  <c r="L74" i="9"/>
  <c r="G69" i="9"/>
  <c r="E74" i="9"/>
  <c r="I43" i="11"/>
  <c r="F72" i="11"/>
  <c r="W72" i="11"/>
  <c r="T72" i="11"/>
  <c r="P72" i="11"/>
  <c r="L72" i="11"/>
  <c r="I72" i="11"/>
  <c r="E72" i="11"/>
  <c r="C72" i="11"/>
  <c r="H87" i="9"/>
  <c r="D69" i="9"/>
  <c r="B86" i="9"/>
  <c r="J86" i="9"/>
  <c r="I87" i="9"/>
  <c r="W74" i="9"/>
  <c r="R69" i="9"/>
  <c r="B72" i="11"/>
  <c r="V72" i="11"/>
  <c r="R72" i="11"/>
  <c r="N72" i="11"/>
  <c r="J72" i="11"/>
  <c r="G72" i="11"/>
  <c r="D72" i="11"/>
  <c r="C43" i="5"/>
  <c r="X78" i="8" s="1"/>
  <c r="U74" i="9"/>
  <c r="Q74" i="9"/>
  <c r="M69" i="9"/>
  <c r="M72" i="11"/>
  <c r="K86" i="9"/>
  <c r="M86" i="9"/>
  <c r="S69" i="9"/>
  <c r="D57" i="9"/>
  <c r="S72" i="11"/>
  <c r="K72" i="11"/>
  <c r="B31" i="5"/>
  <c r="Y63" i="8" s="1"/>
  <c r="B39" i="5"/>
  <c r="Y73" i="8" s="1"/>
  <c r="B35" i="5"/>
  <c r="Y68" i="8" s="1"/>
  <c r="C35" i="5"/>
  <c r="X68" i="8" s="1"/>
  <c r="M64" i="9"/>
  <c r="M74" i="9"/>
  <c r="M50" i="11"/>
  <c r="K87" i="9"/>
  <c r="O87" i="9"/>
  <c r="D19" i="6"/>
  <c r="D21" i="6" s="1"/>
  <c r="U72" i="11"/>
  <c r="Q72" i="11"/>
  <c r="M87" i="9"/>
  <c r="Q69" i="9"/>
  <c r="B43" i="5"/>
  <c r="Y78" i="8" s="1"/>
  <c r="B83" i="5"/>
  <c r="Y78" i="10" s="1"/>
  <c r="C83" i="5"/>
  <c r="X78" i="10" s="1"/>
  <c r="B75" i="5"/>
  <c r="C75" i="5"/>
  <c r="X68" i="10" s="1"/>
  <c r="Y42" i="7"/>
  <c r="Y44" i="7" s="1"/>
  <c r="C26" i="5"/>
  <c r="Z42" i="7"/>
  <c r="B5" i="6" s="1"/>
  <c r="B8" i="6" s="1"/>
  <c r="B26" i="5"/>
  <c r="Y61" i="9"/>
  <c r="B39" i="9" s="1"/>
  <c r="B41" i="9" s="1"/>
  <c r="C41" i="9" s="1"/>
  <c r="B48" i="5"/>
  <c r="Y63" i="9" s="1"/>
  <c r="Y71" i="9"/>
  <c r="G47" i="9" s="1"/>
  <c r="H47" i="9" s="1"/>
  <c r="B56" i="5"/>
  <c r="Y73" i="9" s="1"/>
  <c r="Y47" i="11"/>
  <c r="B40" i="11" s="1"/>
  <c r="B42" i="11" s="1"/>
  <c r="B66" i="5"/>
  <c r="Y49" i="11" s="1"/>
  <c r="B79" i="5"/>
  <c r="Y73" i="10" s="1"/>
  <c r="Y59" i="11"/>
  <c r="G40" i="11" s="1"/>
  <c r="G5" i="6" s="1"/>
  <c r="B93" i="5"/>
  <c r="Y61" i="11" s="1"/>
  <c r="C79" i="5"/>
  <c r="X73" i="10" s="1"/>
  <c r="C39" i="5"/>
  <c r="Y66" i="9"/>
  <c r="B47" i="9" s="1"/>
  <c r="B49" i="9" s="1"/>
  <c r="C49" i="9" s="1"/>
  <c r="B52" i="5"/>
  <c r="Y68" i="9" s="1"/>
  <c r="Y65" i="11"/>
  <c r="Q37" i="11" s="1"/>
  <c r="Q39" i="11" s="1"/>
  <c r="B61" i="5"/>
  <c r="Y67" i="11" s="1"/>
  <c r="B71" i="5"/>
  <c r="Y63" i="10" s="1"/>
  <c r="Y53" i="11"/>
  <c r="L40" i="11" s="1"/>
  <c r="G12" i="6" s="1"/>
  <c r="B88" i="5"/>
  <c r="Y55" i="11" s="1"/>
  <c r="X59" i="11"/>
  <c r="X62" i="11" s="1"/>
  <c r="C93" i="5"/>
  <c r="X61" i="11" s="1"/>
  <c r="X53" i="11"/>
  <c r="X56" i="11" s="1"/>
  <c r="C88" i="5"/>
  <c r="X55" i="11" s="1"/>
  <c r="C71" i="5"/>
  <c r="X63" i="10" s="1"/>
  <c r="X47" i="11"/>
  <c r="X50" i="11" s="1"/>
  <c r="C66" i="5"/>
  <c r="X49" i="11" s="1"/>
  <c r="X65" i="11"/>
  <c r="X72" i="11" s="1"/>
  <c r="C61" i="5"/>
  <c r="X67" i="11" s="1"/>
  <c r="X71" i="9"/>
  <c r="X87" i="9" s="1"/>
  <c r="C56" i="5"/>
  <c r="X73" i="9" s="1"/>
  <c r="X66" i="9"/>
  <c r="X69" i="9" s="1"/>
  <c r="C52" i="5"/>
  <c r="X68" i="9" s="1"/>
  <c r="X61" i="9"/>
  <c r="X64" i="9" s="1"/>
  <c r="C48" i="5"/>
  <c r="X63" i="9" s="1"/>
  <c r="C31" i="5"/>
  <c r="X63" i="8" s="1"/>
  <c r="D20" i="6"/>
  <c r="S25" i="6" s="1"/>
  <c r="I56" i="9"/>
  <c r="D56" i="9"/>
  <c r="R40" i="11"/>
  <c r="I13" i="6"/>
  <c r="S29" i="6" s="1"/>
  <c r="D64" i="8"/>
  <c r="D69" i="8"/>
  <c r="D74" i="8"/>
  <c r="D79" i="8"/>
  <c r="C64" i="8"/>
  <c r="C69" i="8"/>
  <c r="C74" i="8"/>
  <c r="C79" i="8"/>
  <c r="U64" i="10"/>
  <c r="U79" i="10"/>
  <c r="S64" i="10"/>
  <c r="S79" i="10"/>
  <c r="Q64" i="10"/>
  <c r="Q79" i="10"/>
  <c r="O64" i="10"/>
  <c r="O79" i="10"/>
  <c r="M79" i="10"/>
  <c r="K64" i="10"/>
  <c r="K79" i="10"/>
  <c r="H64" i="10"/>
  <c r="H79" i="10"/>
  <c r="F64" i="10"/>
  <c r="F79" i="10"/>
  <c r="B64" i="10"/>
  <c r="B79" i="10"/>
  <c r="W64" i="10"/>
  <c r="W79" i="10"/>
  <c r="V64" i="10"/>
  <c r="V79" i="10"/>
  <c r="T64" i="10"/>
  <c r="T79" i="10"/>
  <c r="R64" i="10"/>
  <c r="R79" i="10"/>
  <c r="P64" i="10"/>
  <c r="P79" i="10"/>
  <c r="N64" i="10"/>
  <c r="N79" i="10"/>
  <c r="L64" i="10"/>
  <c r="L79" i="10"/>
  <c r="J64" i="10"/>
  <c r="J79" i="10"/>
  <c r="I64" i="10"/>
  <c r="I79" i="10"/>
  <c r="G64" i="10"/>
  <c r="G79" i="10"/>
  <c r="E64" i="10"/>
  <c r="E79" i="10"/>
  <c r="D27" i="6"/>
  <c r="S27" i="6" s="1"/>
  <c r="I6" i="6"/>
  <c r="S28" i="6" s="1"/>
  <c r="Y71" i="11"/>
  <c r="L41" i="11"/>
  <c r="G41" i="11"/>
  <c r="B41" i="11"/>
  <c r="S38" i="11"/>
  <c r="X71" i="11"/>
  <c r="R36" i="11"/>
  <c r="G18" i="6"/>
  <c r="R10" i="6" s="1"/>
  <c r="D64" i="10"/>
  <c r="D79" i="10"/>
  <c r="C64" i="10"/>
  <c r="C79" i="10"/>
  <c r="U83" i="10"/>
  <c r="U69" i="10"/>
  <c r="U85" i="10"/>
  <c r="U74" i="10"/>
  <c r="S83" i="10"/>
  <c r="S69" i="10"/>
  <c r="S85" i="10"/>
  <c r="S74" i="10"/>
  <c r="Q83" i="10"/>
  <c r="Q69" i="10"/>
  <c r="Q85" i="10"/>
  <c r="Q74" i="10"/>
  <c r="O83" i="10"/>
  <c r="O69" i="10"/>
  <c r="O85" i="10"/>
  <c r="O74" i="10"/>
  <c r="D41" i="10"/>
  <c r="M64" i="10"/>
  <c r="D49" i="10"/>
  <c r="D54" i="10" s="1"/>
  <c r="M69" i="10"/>
  <c r="I49" i="10"/>
  <c r="I54" i="10" s="1"/>
  <c r="M74" i="10"/>
  <c r="K83" i="10"/>
  <c r="K69" i="10"/>
  <c r="K85" i="10"/>
  <c r="K74" i="10"/>
  <c r="H83" i="10"/>
  <c r="H69" i="10"/>
  <c r="H85" i="10"/>
  <c r="H74" i="10"/>
  <c r="F83" i="10"/>
  <c r="F69" i="10"/>
  <c r="F85" i="10"/>
  <c r="F74" i="10"/>
  <c r="B83" i="10"/>
  <c r="B69" i="10"/>
  <c r="B85" i="10"/>
  <c r="B74" i="10"/>
  <c r="W83" i="10"/>
  <c r="W69" i="10"/>
  <c r="W85" i="10"/>
  <c r="W74" i="10"/>
  <c r="V83" i="10"/>
  <c r="V69" i="10"/>
  <c r="V85" i="10"/>
  <c r="V74" i="10"/>
  <c r="T83" i="10"/>
  <c r="T69" i="10"/>
  <c r="T85" i="10"/>
  <c r="T74" i="10"/>
  <c r="R83" i="10"/>
  <c r="R69" i="10"/>
  <c r="R85" i="10"/>
  <c r="R74" i="10"/>
  <c r="P83" i="10"/>
  <c r="P69" i="10"/>
  <c r="P85" i="10"/>
  <c r="P74" i="10"/>
  <c r="N83" i="10"/>
  <c r="N69" i="10"/>
  <c r="N85" i="10"/>
  <c r="N74" i="10"/>
  <c r="L83" i="10"/>
  <c r="L69" i="10"/>
  <c r="L85" i="10"/>
  <c r="L74" i="10"/>
  <c r="J83" i="10"/>
  <c r="J69" i="10"/>
  <c r="J85" i="10"/>
  <c r="J74" i="10"/>
  <c r="I83" i="10"/>
  <c r="I69" i="10"/>
  <c r="I85" i="10"/>
  <c r="I74" i="10"/>
  <c r="G83" i="10"/>
  <c r="G69" i="10"/>
  <c r="G85" i="10"/>
  <c r="G74" i="10"/>
  <c r="E83" i="10"/>
  <c r="E69" i="10"/>
  <c r="E85" i="10"/>
  <c r="E74" i="10"/>
  <c r="D83" i="10"/>
  <c r="D69" i="10"/>
  <c r="D85" i="10"/>
  <c r="D74" i="10"/>
  <c r="C83" i="10"/>
  <c r="C69" i="10"/>
  <c r="C85" i="10"/>
  <c r="C74" i="10"/>
  <c r="B48" i="9"/>
  <c r="B40" i="9"/>
  <c r="C40" i="9" s="1"/>
  <c r="Y64" i="9"/>
  <c r="G48" i="9"/>
  <c r="Y74" i="9"/>
  <c r="U64" i="8"/>
  <c r="U69" i="8"/>
  <c r="U74" i="8"/>
  <c r="U79" i="8"/>
  <c r="S64" i="8"/>
  <c r="S69" i="8"/>
  <c r="S74" i="8"/>
  <c r="S79" i="8"/>
  <c r="Q64" i="8"/>
  <c r="Q69" i="8"/>
  <c r="Q74" i="8"/>
  <c r="Q79" i="8"/>
  <c r="O64" i="8"/>
  <c r="O69" i="8"/>
  <c r="O74" i="8"/>
  <c r="O79" i="8"/>
  <c r="M79" i="8"/>
  <c r="K64" i="8"/>
  <c r="K69" i="8"/>
  <c r="K74" i="8"/>
  <c r="K79" i="8"/>
  <c r="H64" i="8"/>
  <c r="H69" i="8"/>
  <c r="H74" i="8"/>
  <c r="H79" i="8"/>
  <c r="F64" i="8"/>
  <c r="F69" i="8"/>
  <c r="F74" i="8"/>
  <c r="F79" i="8"/>
  <c r="B64" i="8"/>
  <c r="B69" i="8"/>
  <c r="B74" i="8"/>
  <c r="B79" i="8"/>
  <c r="W64" i="8"/>
  <c r="W69" i="8"/>
  <c r="W74" i="8"/>
  <c r="W79" i="8"/>
  <c r="V64" i="8"/>
  <c r="V69" i="8"/>
  <c r="V74" i="8"/>
  <c r="V79" i="8"/>
  <c r="T64" i="8"/>
  <c r="T69" i="8"/>
  <c r="T74" i="8"/>
  <c r="T79" i="8"/>
  <c r="R64" i="8"/>
  <c r="R69" i="8"/>
  <c r="R74" i="8"/>
  <c r="R79" i="8"/>
  <c r="P64" i="8"/>
  <c r="P69" i="8"/>
  <c r="P74" i="8"/>
  <c r="P79" i="8"/>
  <c r="N64" i="8"/>
  <c r="N69" i="8"/>
  <c r="N74" i="8"/>
  <c r="N79" i="8"/>
  <c r="L64" i="8"/>
  <c r="L69" i="8"/>
  <c r="L74" i="8"/>
  <c r="L79" i="8"/>
  <c r="J64" i="8"/>
  <c r="J69" i="8"/>
  <c r="J74" i="8"/>
  <c r="J79" i="8"/>
  <c r="I64" i="8"/>
  <c r="I69" i="8"/>
  <c r="I74" i="8"/>
  <c r="I79" i="8"/>
  <c r="G64" i="8"/>
  <c r="G69" i="8"/>
  <c r="G74" i="8"/>
  <c r="G79" i="8"/>
  <c r="E64" i="8"/>
  <c r="E69" i="8"/>
  <c r="E74" i="8"/>
  <c r="E79" i="8"/>
  <c r="D41" i="8"/>
  <c r="M64" i="8"/>
  <c r="D49" i="8"/>
  <c r="D51" i="8" s="1"/>
  <c r="M69" i="8"/>
  <c r="I49" i="8"/>
  <c r="I51" i="8" s="1"/>
  <c r="M74" i="8"/>
  <c r="D22" i="6"/>
  <c r="D8" i="6"/>
  <c r="Q38" i="11"/>
  <c r="G51" i="10"/>
  <c r="M84" i="10"/>
  <c r="M82" i="10"/>
  <c r="M83" i="10"/>
  <c r="I52" i="10"/>
  <c r="B51" i="10"/>
  <c r="C51" i="10" s="1"/>
  <c r="M85" i="10"/>
  <c r="D52" i="10"/>
  <c r="D54" i="9"/>
  <c r="I54" i="9"/>
  <c r="L38" i="11"/>
  <c r="G38" i="11"/>
  <c r="B38" i="11"/>
  <c r="G51" i="9"/>
  <c r="G54" i="9" s="1"/>
  <c r="Y84" i="9"/>
  <c r="Y85" i="9"/>
  <c r="B50" i="9"/>
  <c r="B51" i="9" s="1"/>
  <c r="Y82" i="9"/>
  <c r="Y83" i="9"/>
  <c r="X84" i="9"/>
  <c r="X85" i="9"/>
  <c r="X82" i="9"/>
  <c r="X83" i="9"/>
  <c r="D50" i="10"/>
  <c r="I50" i="10"/>
  <c r="C6" i="6"/>
  <c r="G11" i="6"/>
  <c r="M39" i="11"/>
  <c r="H39" i="11"/>
  <c r="G4" i="6"/>
  <c r="C4" i="6"/>
  <c r="B18" i="6"/>
  <c r="C38" i="9"/>
  <c r="B25" i="6"/>
  <c r="C39" i="11"/>
  <c r="D42" i="10"/>
  <c r="I26" i="6"/>
  <c r="I28" i="6" s="1"/>
  <c r="D42" i="8"/>
  <c r="D12" i="6"/>
  <c r="D14" i="6" s="1"/>
  <c r="Y68" i="10"/>
  <c r="Y62" i="10"/>
  <c r="Y67" i="10"/>
  <c r="Y72" i="10"/>
  <c r="Y77" i="10"/>
  <c r="X77" i="10"/>
  <c r="X75" i="10"/>
  <c r="X72" i="10"/>
  <c r="X70" i="10"/>
  <c r="X67" i="10"/>
  <c r="X65" i="10"/>
  <c r="X62" i="10"/>
  <c r="X60" i="10"/>
  <c r="Y60" i="10"/>
  <c r="B39" i="10" s="1"/>
  <c r="Y61" i="10"/>
  <c r="B40" i="10" s="1"/>
  <c r="Y66" i="10"/>
  <c r="B48" i="10" s="1"/>
  <c r="Y71" i="10"/>
  <c r="G48" i="10" s="1"/>
  <c r="Y76" i="10"/>
  <c r="Y65" i="10"/>
  <c r="B47" i="10" s="1"/>
  <c r="C47" i="10" s="1"/>
  <c r="Y70" i="10"/>
  <c r="G47" i="10" s="1"/>
  <c r="H47" i="10" s="1"/>
  <c r="Y75" i="10"/>
  <c r="X76" i="10"/>
  <c r="X71" i="10"/>
  <c r="X84" i="10" s="1"/>
  <c r="X66" i="10"/>
  <c r="X82" i="10" s="1"/>
  <c r="X61" i="10"/>
  <c r="Y61" i="8"/>
  <c r="B40" i="8" s="1"/>
  <c r="B12" i="6" s="1"/>
  <c r="Y72" i="8"/>
  <c r="Y62" i="8"/>
  <c r="Y66" i="8"/>
  <c r="B48" i="8" s="1"/>
  <c r="Y71" i="8"/>
  <c r="G48" i="8" s="1"/>
  <c r="Y76" i="8"/>
  <c r="Y65" i="8"/>
  <c r="B47" i="8" s="1"/>
  <c r="C47" i="8" s="1"/>
  <c r="Y75" i="8"/>
  <c r="X76" i="8"/>
  <c r="X73" i="8"/>
  <c r="X71" i="8"/>
  <c r="X66" i="8"/>
  <c r="X61" i="8"/>
  <c r="Y67" i="8"/>
  <c r="Y77" i="8"/>
  <c r="Y60" i="8"/>
  <c r="B39" i="8" s="1"/>
  <c r="Y70" i="8"/>
  <c r="G47" i="8" s="1"/>
  <c r="H47" i="8" s="1"/>
  <c r="X77" i="8"/>
  <c r="X75" i="8"/>
  <c r="X72" i="8"/>
  <c r="X70" i="8"/>
  <c r="X67" i="8"/>
  <c r="X65" i="8"/>
  <c r="X62" i="8"/>
  <c r="X60" i="8"/>
  <c r="B4" i="3"/>
  <c r="L42" i="11" l="1"/>
  <c r="M42" i="11" s="1"/>
  <c r="C39" i="9"/>
  <c r="H40" i="11"/>
  <c r="C47" i="9"/>
  <c r="G43" i="11"/>
  <c r="H43" i="11" s="1"/>
  <c r="Z44" i="7"/>
  <c r="C42" i="11"/>
  <c r="B26" i="6"/>
  <c r="B28" i="6" s="1"/>
  <c r="C28" i="6" s="1"/>
  <c r="C40" i="11"/>
  <c r="G49" i="9"/>
  <c r="H49" i="9" s="1"/>
  <c r="I15" i="6"/>
  <c r="C5" i="6"/>
  <c r="M40" i="11"/>
  <c r="B19" i="6"/>
  <c r="B21" i="6" s="1"/>
  <c r="C21" i="6" s="1"/>
  <c r="Y69" i="9"/>
  <c r="G42" i="11"/>
  <c r="H42" i="11" s="1"/>
  <c r="Y79" i="8"/>
  <c r="B43" i="11"/>
  <c r="C43" i="11" s="1"/>
  <c r="B7" i="6"/>
  <c r="C7" i="6" s="1"/>
  <c r="Y86" i="9"/>
  <c r="S37" i="11"/>
  <c r="R37" i="11" s="1"/>
  <c r="Y72" i="11"/>
  <c r="X74" i="9"/>
  <c r="Y70" i="11"/>
  <c r="X86" i="9"/>
  <c r="X70" i="11"/>
  <c r="L43" i="11"/>
  <c r="M43" i="11" s="1"/>
  <c r="Y62" i="11"/>
  <c r="Y50" i="11"/>
  <c r="Y56" i="11"/>
  <c r="Y87" i="9"/>
  <c r="H41" i="11"/>
  <c r="G55" i="9"/>
  <c r="H55" i="9" s="1"/>
  <c r="M41" i="11"/>
  <c r="C41" i="11"/>
  <c r="C8" i="6"/>
  <c r="G6" i="6"/>
  <c r="G8" i="6" s="1"/>
  <c r="G13" i="6"/>
  <c r="H13" i="6" s="1"/>
  <c r="B27" i="6"/>
  <c r="D29" i="6"/>
  <c r="I53" i="10"/>
  <c r="I8" i="6"/>
  <c r="Q42" i="11"/>
  <c r="R38" i="11"/>
  <c r="Q43" i="11"/>
  <c r="G20" i="6"/>
  <c r="I20" i="6"/>
  <c r="S42" i="11"/>
  <c r="Q41" i="11"/>
  <c r="G19" i="6"/>
  <c r="H18" i="6"/>
  <c r="D53" i="10"/>
  <c r="B49" i="10"/>
  <c r="B53" i="10" s="1"/>
  <c r="Y69" i="10"/>
  <c r="I27" i="6"/>
  <c r="S26" i="6" s="1"/>
  <c r="D43" i="10"/>
  <c r="Y79" i="10"/>
  <c r="X83" i="10"/>
  <c r="X69" i="10"/>
  <c r="X85" i="10"/>
  <c r="X74" i="10"/>
  <c r="G49" i="10"/>
  <c r="G53" i="10" s="1"/>
  <c r="Y74" i="10"/>
  <c r="B41" i="10"/>
  <c r="B43" i="10" s="1"/>
  <c r="C43" i="10" s="1"/>
  <c r="Y64" i="10"/>
  <c r="X64" i="10"/>
  <c r="X79" i="10"/>
  <c r="H48" i="9"/>
  <c r="G57" i="9"/>
  <c r="H57" i="9" s="1"/>
  <c r="B20" i="6"/>
  <c r="B22" i="6" s="1"/>
  <c r="C22" i="6" s="1"/>
  <c r="B42" i="9"/>
  <c r="C42" i="9" s="1"/>
  <c r="C48" i="9"/>
  <c r="B57" i="9"/>
  <c r="C57" i="9" s="1"/>
  <c r="G49" i="8"/>
  <c r="Y74" i="8"/>
  <c r="D13" i="6"/>
  <c r="S24" i="6" s="1"/>
  <c r="D43" i="8"/>
  <c r="B49" i="8"/>
  <c r="Y69" i="8"/>
  <c r="B41" i="8"/>
  <c r="B43" i="8" s="1"/>
  <c r="Y64" i="8"/>
  <c r="X64" i="8"/>
  <c r="X69" i="8"/>
  <c r="X74" i="8"/>
  <c r="X79" i="8"/>
  <c r="B52" i="10"/>
  <c r="C52" i="10" s="1"/>
  <c r="Y83" i="10"/>
  <c r="Y84" i="10"/>
  <c r="Y85" i="10"/>
  <c r="G52" i="10"/>
  <c r="H52" i="10" s="1"/>
  <c r="H51" i="10"/>
  <c r="Y82" i="10"/>
  <c r="H54" i="9"/>
  <c r="G56" i="9"/>
  <c r="H56" i="9" s="1"/>
  <c r="H51" i="9"/>
  <c r="C50" i="9"/>
  <c r="B56" i="9"/>
  <c r="C56" i="9" s="1"/>
  <c r="B54" i="9"/>
  <c r="C54" i="9" s="1"/>
  <c r="C51" i="9"/>
  <c r="B55" i="9"/>
  <c r="C55" i="9" s="1"/>
  <c r="H48" i="8"/>
  <c r="G50" i="8"/>
  <c r="H50" i="8" s="1"/>
  <c r="C48" i="10"/>
  <c r="B50" i="10"/>
  <c r="C50" i="10" s="1"/>
  <c r="C48" i="8"/>
  <c r="B50" i="8"/>
  <c r="C50" i="8" s="1"/>
  <c r="H48" i="10"/>
  <c r="G50" i="10"/>
  <c r="H50" i="10" s="1"/>
  <c r="C40" i="10"/>
  <c r="G26" i="6"/>
  <c r="B42" i="10"/>
  <c r="C42" i="10" s="1"/>
  <c r="R8" i="6"/>
  <c r="H4" i="6"/>
  <c r="H5" i="6"/>
  <c r="G7" i="6"/>
  <c r="H7" i="6" s="1"/>
  <c r="C26" i="6"/>
  <c r="G25" i="6"/>
  <c r="C39" i="10"/>
  <c r="C25" i="6"/>
  <c r="R7" i="6"/>
  <c r="R5" i="6"/>
  <c r="C18" i="6"/>
  <c r="H11" i="6"/>
  <c r="R9" i="6"/>
  <c r="H12" i="6"/>
  <c r="G14" i="6"/>
  <c r="H14" i="6" s="1"/>
  <c r="C39" i="8"/>
  <c r="B11" i="6"/>
  <c r="B14" i="6" s="1"/>
  <c r="C14" i="6" s="1"/>
  <c r="C12" i="6"/>
  <c r="C40" i="8"/>
  <c r="B42" i="8"/>
  <c r="C42" i="8" s="1"/>
  <c r="B29" i="6" l="1"/>
  <c r="C29" i="6" s="1"/>
  <c r="C19" i="6"/>
  <c r="I19" i="6"/>
  <c r="I21" i="6" s="1"/>
  <c r="S39" i="11"/>
  <c r="R39" i="11" s="1"/>
  <c r="S43" i="11"/>
  <c r="R43" i="11" s="1"/>
  <c r="S41" i="11"/>
  <c r="R41" i="11" s="1"/>
  <c r="I29" i="6"/>
  <c r="S9" i="6"/>
  <c r="S8" i="6"/>
  <c r="S7" i="6"/>
  <c r="G15" i="6"/>
  <c r="H15" i="6" s="1"/>
  <c r="H8" i="6"/>
  <c r="H6" i="6"/>
  <c r="C27" i="6"/>
  <c r="C41" i="8"/>
  <c r="H53" i="10"/>
  <c r="G27" i="6"/>
  <c r="G29" i="6" s="1"/>
  <c r="C41" i="10"/>
  <c r="C53" i="10"/>
  <c r="B13" i="6"/>
  <c r="B15" i="6" s="1"/>
  <c r="C43" i="8"/>
  <c r="G21" i="6"/>
  <c r="R42" i="11"/>
  <c r="H20" i="6"/>
  <c r="S10" i="6"/>
  <c r="G22" i="6"/>
  <c r="D15" i="6"/>
  <c r="C49" i="10"/>
  <c r="B54" i="10"/>
  <c r="C54" i="10" s="1"/>
  <c r="H49" i="10"/>
  <c r="G54" i="10"/>
  <c r="H54" i="10" s="1"/>
  <c r="S5" i="6"/>
  <c r="C20" i="6"/>
  <c r="C49" i="8"/>
  <c r="B51" i="8"/>
  <c r="C51" i="8" s="1"/>
  <c r="H49" i="8"/>
  <c r="G51" i="8"/>
  <c r="H51" i="8" s="1"/>
  <c r="C11" i="6"/>
  <c r="R4" i="6"/>
  <c r="R6" i="6"/>
  <c r="H25" i="6"/>
  <c r="G28" i="6"/>
  <c r="H28" i="6" s="1"/>
  <c r="H26" i="6"/>
  <c r="I22" i="6" l="1"/>
  <c r="H22" i="6" s="1"/>
  <c r="H19" i="6"/>
  <c r="H21" i="6"/>
  <c r="H29" i="6"/>
  <c r="S6" i="6"/>
  <c r="C13" i="6"/>
  <c r="H27" i="6"/>
  <c r="S4" i="6"/>
  <c r="C15" i="6"/>
</calcChain>
</file>

<file path=xl/sharedStrings.xml><?xml version="1.0" encoding="utf-8"?>
<sst xmlns="http://schemas.openxmlformats.org/spreadsheetml/2006/main" count="430" uniqueCount="188">
  <si>
    <t>Návštěvy</t>
  </si>
  <si>
    <t>Transakce</t>
  </si>
  <si>
    <t>Obrat</t>
  </si>
  <si>
    <t>KP</t>
  </si>
  <si>
    <t>2013-04</t>
  </si>
  <si>
    <t>2013-03</t>
  </si>
  <si>
    <t>2013-02</t>
  </si>
  <si>
    <t>2013-01</t>
  </si>
  <si>
    <t>2012-12</t>
  </si>
  <si>
    <t>2012-11</t>
  </si>
  <si>
    <t>2012-10</t>
  </si>
  <si>
    <t>2012-09</t>
  </si>
  <si>
    <t>2012-08</t>
  </si>
  <si>
    <t>2012-07</t>
  </si>
  <si>
    <t>2012-06</t>
  </si>
  <si>
    <t>2012-05</t>
  </si>
  <si>
    <t>2012-04</t>
  </si>
  <si>
    <t>2012-03</t>
  </si>
  <si>
    <t>2012-02</t>
  </si>
  <si>
    <t>2012-01</t>
  </si>
  <si>
    <t>2011-12</t>
  </si>
  <si>
    <t>2011-11</t>
  </si>
  <si>
    <t>2011-10</t>
  </si>
  <si>
    <t>2011-09</t>
  </si>
  <si>
    <t>2011-08</t>
  </si>
  <si>
    <t>2011-07</t>
  </si>
  <si>
    <t>2011-06</t>
  </si>
  <si>
    <t>2011-05</t>
  </si>
  <si>
    <t>2011-04</t>
  </si>
  <si>
    <t>2011-03</t>
  </si>
  <si>
    <t>2011-02</t>
  </si>
  <si>
    <t>2011-01</t>
  </si>
  <si>
    <t>Aktualni rok</t>
  </si>
  <si>
    <t>Aktualni mesic</t>
  </si>
  <si>
    <t>04</t>
  </si>
  <si>
    <t>Lonsky mesic</t>
  </si>
  <si>
    <t>07</t>
  </si>
  <si>
    <t>12</t>
  </si>
  <si>
    <t>Data pro celkovy graf</t>
  </si>
  <si>
    <t>01</t>
  </si>
  <si>
    <t>02</t>
  </si>
  <si>
    <t>03</t>
  </si>
  <si>
    <t>05</t>
  </si>
  <si>
    <t>06</t>
  </si>
  <si>
    <t>08</t>
  </si>
  <si>
    <t>09</t>
  </si>
  <si>
    <t>10</t>
  </si>
  <si>
    <t>11</t>
  </si>
  <si>
    <t>organic - Návštěvy</t>
  </si>
  <si>
    <t>organic - Transakce</t>
  </si>
  <si>
    <t>organic - Obrat</t>
  </si>
  <si>
    <t>organic - KP</t>
  </si>
  <si>
    <t>seznam - Návštěvy</t>
  </si>
  <si>
    <t>seznam - Transakce</t>
  </si>
  <si>
    <t>seznam - Obrat</t>
  </si>
  <si>
    <t>seznam- KP</t>
  </si>
  <si>
    <t>google - Návštěvy</t>
  </si>
  <si>
    <t>google - Transakce</t>
  </si>
  <si>
    <t>google - Obrat</t>
  </si>
  <si>
    <t>google - KP</t>
  </si>
  <si>
    <t>ostatní org - Návštěvy</t>
  </si>
  <si>
    <t>ostatní org - Transakce</t>
  </si>
  <si>
    <t>ostatní org - Obrat</t>
  </si>
  <si>
    <t>ostatní org - KP</t>
  </si>
  <si>
    <t>cpc - Návštěvy</t>
  </si>
  <si>
    <t>cpc - Transakce</t>
  </si>
  <si>
    <t>cpc - Obrat</t>
  </si>
  <si>
    <t>cpc - KP</t>
  </si>
  <si>
    <t>adwords - Návštěvy</t>
  </si>
  <si>
    <t>adwords - Transakce</t>
  </si>
  <si>
    <t>adwords - Obrat</t>
  </si>
  <si>
    <t>adwords - KP</t>
  </si>
  <si>
    <t>sklik - Návštěvy</t>
  </si>
  <si>
    <t>sklik - Transakce</t>
  </si>
  <si>
    <t>sklik - Obrat</t>
  </si>
  <si>
    <t>sklik - KP</t>
  </si>
  <si>
    <t>RTB - Návštěvy</t>
  </si>
  <si>
    <t>RTB - Transakce</t>
  </si>
  <si>
    <t>RTB - Obrat</t>
  </si>
  <si>
    <t>RTB - KP</t>
  </si>
  <si>
    <t>direct - Návštěvy</t>
  </si>
  <si>
    <t>direct - Transakce</t>
  </si>
  <si>
    <t>direct - Obrat</t>
  </si>
  <si>
    <t>direct - KP</t>
  </si>
  <si>
    <t>zbožáky - Návštěvy</t>
  </si>
  <si>
    <t>zbožáky - Transakce</t>
  </si>
  <si>
    <t>zbožáky - Obrat</t>
  </si>
  <si>
    <t>zbožáky - KP</t>
  </si>
  <si>
    <t>heureka - Návštěvy</t>
  </si>
  <si>
    <t>heureka - Transakce</t>
  </si>
  <si>
    <t>heureka - Obrat</t>
  </si>
  <si>
    <t>heureka - KP</t>
  </si>
  <si>
    <t>zbozi - Návštěvy</t>
  </si>
  <si>
    <t>zbozi - Transakce</t>
  </si>
  <si>
    <t>zbozi - Obrat</t>
  </si>
  <si>
    <t>zbozi - KP</t>
  </si>
  <si>
    <t>zbož-ost - Návštěvy</t>
  </si>
  <si>
    <t>zbož-ost - Transakce</t>
  </si>
  <si>
    <t>zbož-ost - Obrat</t>
  </si>
  <si>
    <t>zbož-ost - KP</t>
  </si>
  <si>
    <t>massmail - Návštěvy</t>
  </si>
  <si>
    <t>massmail - Transakce</t>
  </si>
  <si>
    <t>massmail - Obrat</t>
  </si>
  <si>
    <t>massmail - KP</t>
  </si>
  <si>
    <t>referral - Návštěvy</t>
  </si>
  <si>
    <t>referral - Transakce</t>
  </si>
  <si>
    <t>referral - Obrat</t>
  </si>
  <si>
    <t>referral - KP</t>
  </si>
  <si>
    <t>Změna</t>
  </si>
  <si>
    <t>Predchozi mesic</t>
  </si>
  <si>
    <t>organic</t>
  </si>
  <si>
    <t>cpc</t>
  </si>
  <si>
    <t>zbožáky</t>
  </si>
  <si>
    <t>direct</t>
  </si>
  <si>
    <t>referral</t>
  </si>
  <si>
    <t>massmail</t>
  </si>
  <si>
    <t>PPC</t>
  </si>
  <si>
    <t>AdWords-náklady</t>
  </si>
  <si>
    <t>AdWords-kliknutí</t>
  </si>
  <si>
    <t>AdWords-konverze</t>
  </si>
  <si>
    <t>Sklik-náklady</t>
  </si>
  <si>
    <t>Sklik-kliknutí</t>
  </si>
  <si>
    <t>Sklik-konverze</t>
  </si>
  <si>
    <t>2013-05</t>
  </si>
  <si>
    <t>Tady se zkopiruje vzorec z vrchu ve sloupci B a pak se pretahne doprava</t>
  </si>
  <si>
    <t>Náklady</t>
  </si>
  <si>
    <t>Náklady v $</t>
  </si>
  <si>
    <t>Náklady v Kč</t>
  </si>
  <si>
    <t>kurz $ vs. CZK</t>
  </si>
  <si>
    <t>Prokliky</t>
  </si>
  <si>
    <t>Konverze</t>
  </si>
  <si>
    <t>Cena za konverzi</t>
  </si>
  <si>
    <t>Cena za proklik</t>
  </si>
  <si>
    <t>Podíl nákladů na obratu</t>
  </si>
  <si>
    <t>AdWords-cena za konv.</t>
  </si>
  <si>
    <t>AdWords-podíl nákl. na obratu</t>
  </si>
  <si>
    <t>Sklik-cena za konv.</t>
  </si>
  <si>
    <t>Sklik-podíl nákl. na obratu</t>
  </si>
  <si>
    <t>PPC náklady</t>
  </si>
  <si>
    <t>Zbožáky náklady</t>
  </si>
  <si>
    <t>Heureka-náklady</t>
  </si>
  <si>
    <t>Zboží-náklady</t>
  </si>
  <si>
    <t>Cena za transakci</t>
  </si>
  <si>
    <t>Heureka-cena za transakci</t>
  </si>
  <si>
    <t>Zboží-cena za transakci</t>
  </si>
  <si>
    <t>Heureka-podíl nákl.na obratu</t>
  </si>
  <si>
    <t>Zboží-podíl nákl.na obratu</t>
  </si>
  <si>
    <t>2013-06</t>
  </si>
  <si>
    <t>RTB náklady</t>
  </si>
  <si>
    <t>RTB - náklady</t>
  </si>
  <si>
    <t>Kurz EUR</t>
  </si>
  <si>
    <t>RTB-cena za transakci</t>
  </si>
  <si>
    <t>RTB-podíl nákl.na obratu</t>
  </si>
  <si>
    <t>RTB-náklady v CZK</t>
  </si>
  <si>
    <t>LONI</t>
  </si>
  <si>
    <t>RTB</t>
  </si>
  <si>
    <t>PCO</t>
  </si>
  <si>
    <t>organic - PCO</t>
  </si>
  <si>
    <t>seznam - PCO</t>
  </si>
  <si>
    <t>google - PCO</t>
  </si>
  <si>
    <t>ostatní org - PCO</t>
  </si>
  <si>
    <t>cpc - PCO</t>
  </si>
  <si>
    <t>sklik - PCO</t>
  </si>
  <si>
    <t>AdWords - PCO</t>
  </si>
  <si>
    <t>zbozi - PCO</t>
  </si>
  <si>
    <t>heureka - PCO</t>
  </si>
  <si>
    <t>zbož-ost - PCO</t>
  </si>
  <si>
    <t>zbožáky - PCO</t>
  </si>
  <si>
    <t>direct - PCO</t>
  </si>
  <si>
    <t>massmail - PCO</t>
  </si>
  <si>
    <t>referral - PCO</t>
  </si>
  <si>
    <t>RTB - PCO</t>
  </si>
  <si>
    <t>2013-07</t>
  </si>
  <si>
    <t>2013-08</t>
  </si>
  <si>
    <t>AdWords-cena za trans.</t>
  </si>
  <si>
    <t>Sklik-cena za trans.</t>
  </si>
  <si>
    <t>2013-09</t>
  </si>
  <si>
    <t>KPI report - září 2013</t>
  </si>
  <si>
    <t>komplet</t>
  </si>
  <si>
    <t>organic - seznam</t>
  </si>
  <si>
    <t>organic - google</t>
  </si>
  <si>
    <t>cpc - AdWords</t>
  </si>
  <si>
    <t>cpc - Sklik</t>
  </si>
  <si>
    <t>zbožáky - Heureka</t>
  </si>
  <si>
    <t>zbožáky - Zboží</t>
  </si>
  <si>
    <t>2013-10</t>
  </si>
  <si>
    <t>Vytvořil: Adam Jurák</t>
  </si>
  <si>
    <t>http://blog.adamjurak.cz/mesicni-kpi-report-pro-e-shop/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</si>
</sst>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\ &quot;Kč&quot;"/>
    <numFmt numFmtId="165" formatCode="[$$-409]#,##0.00"/>
    <numFmt numFmtId="166" formatCode="#,##0.00\ &quot;Kč&quot;"/>
    <numFmt numFmtId="167" formatCode="#,##0.00\ [$€-1]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0" tint="-0.249977111117893"/>
      <name val="Calibri"/>
      <family val="2"/>
      <charset val="238"/>
      <scheme val="minor"/>
    </font>
    <font>
      <b/>
      <sz val="11"/>
      <color theme="0" tint="-0.34998626667073579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  <font>
      <b/>
      <sz val="17"/>
      <color rgb="FFFF0000"/>
      <name val="Calibri"/>
      <family val="2"/>
      <charset val="238"/>
      <scheme val="minor"/>
    </font>
    <font>
      <b/>
      <sz val="11"/>
      <color theme="5" tint="-0.249977111117893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08">
    <xf numFmtId="0" fontId="0" fillId="0" borderId="0" xfId="0"/>
    <xf numFmtId="0" fontId="1" fillId="0" borderId="0" xfId="0" applyFont="1"/>
    <xf numFmtId="0" fontId="2" fillId="0" borderId="0" xfId="0" applyFont="1"/>
    <xf numFmtId="3" fontId="0" fillId="0" borderId="0" xfId="0" applyNumberFormat="1"/>
    <xf numFmtId="164" fontId="0" fillId="0" borderId="0" xfId="0" applyNumberFormat="1"/>
    <xf numFmtId="10" fontId="0" fillId="0" borderId="0" xfId="0" applyNumberForma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2" borderId="0" xfId="0" applyFill="1"/>
    <xf numFmtId="1" fontId="0" fillId="2" borderId="0" xfId="0" applyNumberFormat="1" applyFill="1" applyAlignment="1">
      <alignment horizontal="right"/>
    </xf>
    <xf numFmtId="0" fontId="3" fillId="0" borderId="0" xfId="0" applyNumberFormat="1" applyFont="1"/>
    <xf numFmtId="49" fontId="3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10" fontId="5" fillId="0" borderId="0" xfId="0" applyNumberFormat="1" applyFont="1"/>
    <xf numFmtId="0" fontId="0" fillId="0" borderId="0" xfId="0"/>
    <xf numFmtId="164" fontId="0" fillId="0" borderId="0" xfId="0" applyNumberFormat="1"/>
    <xf numFmtId="3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3" fontId="7" fillId="0" borderId="0" xfId="0" applyNumberFormat="1" applyFont="1"/>
    <xf numFmtId="164" fontId="7" fillId="0" borderId="0" xfId="0" applyNumberFormat="1" applyFont="1"/>
    <xf numFmtId="10" fontId="7" fillId="0" borderId="0" xfId="0" applyNumberFormat="1" applyFont="1"/>
    <xf numFmtId="0" fontId="8" fillId="0" borderId="0" xfId="0" applyFont="1" applyAlignment="1">
      <alignment horizontal="right"/>
    </xf>
    <xf numFmtId="0" fontId="1" fillId="3" borderId="0" xfId="0" applyFont="1" applyFill="1"/>
    <xf numFmtId="0" fontId="6" fillId="3" borderId="0" xfId="0" applyFont="1" applyFill="1"/>
    <xf numFmtId="0" fontId="1" fillId="3" borderId="0" xfId="0" applyFont="1" applyFill="1" applyAlignment="1">
      <alignment horizontal="right" indent="2"/>
    </xf>
    <xf numFmtId="3" fontId="0" fillId="2" borderId="0" xfId="0" applyNumberFormat="1" applyFill="1" applyAlignment="1">
      <alignment horizontal="right" indent="2"/>
    </xf>
    <xf numFmtId="164" fontId="0" fillId="2" borderId="0" xfId="0" applyNumberFormat="1" applyFill="1" applyAlignment="1">
      <alignment horizontal="right" indent="2"/>
    </xf>
    <xf numFmtId="10" fontId="0" fillId="2" borderId="0" xfId="0" applyNumberFormat="1" applyFill="1" applyAlignment="1">
      <alignment horizontal="right" indent="2"/>
    </xf>
    <xf numFmtId="0" fontId="1" fillId="3" borderId="0" xfId="0" applyFont="1" applyFill="1" applyAlignment="1">
      <alignment horizontal="right" indent="1"/>
    </xf>
    <xf numFmtId="10" fontId="0" fillId="2" borderId="0" xfId="0" applyNumberFormat="1" applyFill="1" applyAlignment="1">
      <alignment horizontal="right" indent="1"/>
    </xf>
    <xf numFmtId="0" fontId="0" fillId="5" borderId="0" xfId="0" applyFill="1" applyAlignment="1">
      <alignment horizontal="right"/>
    </xf>
    <xf numFmtId="3" fontId="0" fillId="5" borderId="0" xfId="0" applyNumberFormat="1" applyFill="1" applyAlignment="1">
      <alignment horizontal="right"/>
    </xf>
    <xf numFmtId="164" fontId="0" fillId="5" borderId="0" xfId="0" applyNumberFormat="1" applyFill="1" applyAlignment="1">
      <alignment horizontal="right"/>
    </xf>
    <xf numFmtId="10" fontId="0" fillId="5" borderId="0" xfId="0" applyNumberFormat="1" applyFill="1" applyAlignment="1">
      <alignment horizontal="right"/>
    </xf>
    <xf numFmtId="0" fontId="0" fillId="2" borderId="0" xfId="0" applyFill="1" applyAlignment="1">
      <alignment horizontal="right"/>
    </xf>
    <xf numFmtId="3" fontId="0" fillId="2" borderId="0" xfId="0" applyNumberFormat="1" applyFill="1" applyAlignment="1">
      <alignment horizontal="right"/>
    </xf>
    <xf numFmtId="164" fontId="0" fillId="2" borderId="0" xfId="0" applyNumberFormat="1" applyFill="1" applyAlignment="1">
      <alignment horizontal="right"/>
    </xf>
    <xf numFmtId="10" fontId="0" fillId="2" borderId="0" xfId="0" applyNumberFormat="1" applyFill="1" applyAlignment="1">
      <alignment horizontal="right"/>
    </xf>
    <xf numFmtId="0" fontId="6" fillId="6" borderId="0" xfId="0" applyFont="1" applyFill="1" applyAlignment="1">
      <alignment horizontal="left" vertical="center"/>
    </xf>
    <xf numFmtId="0" fontId="1" fillId="4" borderId="0" xfId="0" applyFont="1" applyFill="1" applyAlignment="1">
      <alignment horizontal="right" indent="2"/>
    </xf>
    <xf numFmtId="0" fontId="1" fillId="4" borderId="0" xfId="0" applyFont="1" applyFill="1" applyAlignment="1">
      <alignment horizontal="right" indent="1"/>
    </xf>
    <xf numFmtId="0" fontId="1" fillId="4" borderId="0" xfId="0" applyFont="1" applyFill="1"/>
    <xf numFmtId="3" fontId="0" fillId="7" borderId="0" xfId="0" applyNumberFormat="1" applyFill="1" applyAlignment="1">
      <alignment horizontal="right" indent="2"/>
    </xf>
    <xf numFmtId="10" fontId="0" fillId="7" borderId="0" xfId="0" applyNumberFormat="1" applyFill="1" applyAlignment="1">
      <alignment horizontal="right" indent="1"/>
    </xf>
    <xf numFmtId="164" fontId="0" fillId="7" borderId="0" xfId="0" applyNumberFormat="1" applyFill="1" applyAlignment="1">
      <alignment horizontal="right" indent="2"/>
    </xf>
    <xf numFmtId="10" fontId="0" fillId="7" borderId="0" xfId="0" applyNumberFormat="1" applyFill="1" applyAlignment="1">
      <alignment horizontal="right" indent="2"/>
    </xf>
    <xf numFmtId="165" fontId="0" fillId="0" borderId="0" xfId="0" applyNumberFormat="1"/>
    <xf numFmtId="0" fontId="6" fillId="8" borderId="0" xfId="0" applyFont="1" applyFill="1"/>
    <xf numFmtId="0" fontId="1" fillId="8" borderId="0" xfId="0" applyFont="1" applyFill="1"/>
    <xf numFmtId="0" fontId="1" fillId="8" borderId="0" xfId="0" applyFont="1" applyFill="1" applyAlignment="1">
      <alignment horizontal="right" indent="2"/>
    </xf>
    <xf numFmtId="0" fontId="1" fillId="8" borderId="0" xfId="0" applyFont="1" applyFill="1" applyAlignment="1">
      <alignment horizontal="right" indent="1"/>
    </xf>
    <xf numFmtId="0" fontId="0" fillId="9" borderId="0" xfId="0" applyFill="1" applyAlignment="1">
      <alignment horizontal="right"/>
    </xf>
    <xf numFmtId="3" fontId="0" fillId="9" borderId="0" xfId="0" applyNumberFormat="1" applyFill="1" applyAlignment="1">
      <alignment horizontal="right"/>
    </xf>
    <xf numFmtId="164" fontId="0" fillId="9" borderId="0" xfId="0" applyNumberFormat="1" applyFill="1" applyAlignment="1">
      <alignment horizontal="right"/>
    </xf>
    <xf numFmtId="10" fontId="0" fillId="9" borderId="0" xfId="0" applyNumberFormat="1" applyFill="1" applyAlignment="1">
      <alignment horizontal="right"/>
    </xf>
    <xf numFmtId="0" fontId="0" fillId="3" borderId="0" xfId="0" applyFill="1" applyAlignment="1">
      <alignment horizontal="right"/>
    </xf>
    <xf numFmtId="3" fontId="0" fillId="3" borderId="0" xfId="0" applyNumberFormat="1" applyFill="1" applyAlignment="1">
      <alignment horizontal="right"/>
    </xf>
    <xf numFmtId="164" fontId="0" fillId="3" borderId="0" xfId="0" applyNumberFormat="1" applyFill="1" applyAlignment="1">
      <alignment horizontal="right"/>
    </xf>
    <xf numFmtId="10" fontId="0" fillId="3" borderId="0" xfId="0" applyNumberFormat="1" applyFill="1" applyAlignment="1">
      <alignment horizontal="right"/>
    </xf>
    <xf numFmtId="0" fontId="0" fillId="10" borderId="0" xfId="0" applyFill="1"/>
    <xf numFmtId="165" fontId="0" fillId="0" borderId="0" xfId="0" applyNumberFormat="1" applyAlignment="1">
      <alignment horizontal="right"/>
    </xf>
    <xf numFmtId="165" fontId="0" fillId="5" borderId="0" xfId="0" applyNumberFormat="1" applyFill="1" applyAlignment="1">
      <alignment horizontal="right"/>
    </xf>
    <xf numFmtId="165" fontId="0" fillId="2" borderId="0" xfId="0" applyNumberFormat="1" applyFill="1" applyAlignment="1">
      <alignment horizontal="right"/>
    </xf>
    <xf numFmtId="165" fontId="7" fillId="0" borderId="0" xfId="0" applyNumberFormat="1" applyFont="1"/>
    <xf numFmtId="166" fontId="7" fillId="0" borderId="0" xfId="0" applyNumberFormat="1" applyFont="1"/>
    <xf numFmtId="10" fontId="0" fillId="2" borderId="0" xfId="0" applyNumberFormat="1" applyFill="1"/>
    <xf numFmtId="164" fontId="0" fillId="9" borderId="0" xfId="0" applyNumberFormat="1" applyFill="1"/>
    <xf numFmtId="10" fontId="0" fillId="9" borderId="0" xfId="0" applyNumberFormat="1" applyFill="1"/>
    <xf numFmtId="164" fontId="0" fillId="5" borderId="0" xfId="0" applyNumberFormat="1" applyFill="1"/>
    <xf numFmtId="10" fontId="0" fillId="5" borderId="0" xfId="0" applyNumberFormat="1" applyFill="1"/>
    <xf numFmtId="164" fontId="0" fillId="2" borderId="0" xfId="0" applyNumberFormat="1" applyFill="1"/>
    <xf numFmtId="0" fontId="1" fillId="5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0" fillId="11" borderId="0" xfId="0" applyFill="1"/>
    <xf numFmtId="165" fontId="0" fillId="2" borderId="0" xfId="0" applyNumberFormat="1" applyFill="1" applyAlignment="1">
      <alignment horizontal="right" indent="2"/>
    </xf>
    <xf numFmtId="166" fontId="0" fillId="2" borderId="0" xfId="0" applyNumberFormat="1" applyFill="1" applyAlignment="1">
      <alignment horizontal="right" indent="2"/>
    </xf>
    <xf numFmtId="164" fontId="0" fillId="3" borderId="0" xfId="0" applyNumberFormat="1" applyFill="1"/>
    <xf numFmtId="10" fontId="0" fillId="3" borderId="0" xfId="0" applyNumberFormat="1" applyFill="1"/>
    <xf numFmtId="164" fontId="7" fillId="0" borderId="0" xfId="0" applyNumberFormat="1" applyFont="1" applyFill="1"/>
    <xf numFmtId="167" fontId="0" fillId="0" borderId="0" xfId="0" applyNumberFormat="1"/>
    <xf numFmtId="167" fontId="0" fillId="2" borderId="0" xfId="0" applyNumberFormat="1" applyFill="1"/>
    <xf numFmtId="167" fontId="0" fillId="5" borderId="0" xfId="0" applyNumberFormat="1" applyFill="1"/>
    <xf numFmtId="0" fontId="0" fillId="12" borderId="0" xfId="0" applyFill="1"/>
    <xf numFmtId="0" fontId="9" fillId="0" borderId="0" xfId="0" applyFont="1"/>
    <xf numFmtId="0" fontId="1" fillId="0" borderId="0" xfId="0" applyFont="1" applyFill="1"/>
    <xf numFmtId="0" fontId="0" fillId="0" borderId="0" xfId="0" applyFill="1"/>
    <xf numFmtId="0" fontId="10" fillId="0" borderId="0" xfId="0" applyFont="1" applyAlignment="1">
      <alignment horizontal="right"/>
    </xf>
    <xf numFmtId="3" fontId="11" fillId="0" borderId="0" xfId="0" applyNumberFormat="1" applyFont="1"/>
    <xf numFmtId="164" fontId="11" fillId="0" borderId="0" xfId="0" applyNumberFormat="1" applyFont="1"/>
    <xf numFmtId="10" fontId="11" fillId="0" borderId="0" xfId="0" applyNumberFormat="1" applyFont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3" fontId="0" fillId="0" borderId="0" xfId="0" applyNumberFormat="1" applyFill="1"/>
    <xf numFmtId="10" fontId="0" fillId="0" borderId="0" xfId="0" applyNumberFormat="1" applyFill="1"/>
    <xf numFmtId="164" fontId="0" fillId="0" borderId="0" xfId="0" applyNumberFormat="1" applyFill="1"/>
    <xf numFmtId="3" fontId="0" fillId="0" borderId="0" xfId="0" applyNumberFormat="1" applyFont="1" applyFill="1"/>
    <xf numFmtId="164" fontId="0" fillId="0" borderId="0" xfId="0" applyNumberFormat="1" applyFont="1" applyFill="1"/>
    <xf numFmtId="10" fontId="5" fillId="0" borderId="0" xfId="0" applyNumberFormat="1" applyFont="1" applyFill="1"/>
    <xf numFmtId="165" fontId="0" fillId="0" borderId="0" xfId="0" applyNumberFormat="1" applyFill="1"/>
    <xf numFmtId="167" fontId="0" fillId="0" borderId="0" xfId="0" applyNumberFormat="1" applyFill="1"/>
    <xf numFmtId="0" fontId="12" fillId="0" borderId="0" xfId="1"/>
    <xf numFmtId="0" fontId="13" fillId="0" borderId="0" xfId="0" applyFont="1"/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Návštěvy</a:t>
            </a:r>
            <a:r>
              <a:rPr lang="cs-CZ" baseline="0"/>
              <a:t> - kanály</a:t>
            </a:r>
            <a:endParaRPr lang="cs-CZ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0438984098302131E-2"/>
          <c:y val="0.14106306383833217"/>
          <c:w val="0.95912203180339572"/>
          <c:h val="0.83071525895328879"/>
        </c:manualLayout>
      </c:layout>
      <c:pie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prehled!$Q$4:$Q$11</c:f>
              <c:strCache>
                <c:ptCount val="7"/>
                <c:pt idx="0">
                  <c:v>organic</c:v>
                </c:pt>
                <c:pt idx="1">
                  <c:v>cpc</c:v>
                </c:pt>
                <c:pt idx="2">
                  <c:v>zbožáky</c:v>
                </c:pt>
                <c:pt idx="3">
                  <c:v>direct</c:v>
                </c:pt>
                <c:pt idx="4">
                  <c:v>referral</c:v>
                </c:pt>
                <c:pt idx="5">
                  <c:v>massmail</c:v>
                </c:pt>
                <c:pt idx="6">
                  <c:v>RTB</c:v>
                </c:pt>
              </c:strCache>
            </c:strRef>
          </c:cat>
          <c:val>
            <c:numRef>
              <c:f>prehled!$R$4:$R$11</c:f>
              <c:numCache>
                <c:formatCode>#,##0</c:formatCode>
                <c:ptCount val="8"/>
                <c:pt idx="0">
                  <c:v>67254.796128580099</c:v>
                </c:pt>
                <c:pt idx="1">
                  <c:v>70700.271481561984</c:v>
                </c:pt>
                <c:pt idx="2">
                  <c:v>15851.897031025219</c:v>
                </c:pt>
                <c:pt idx="3">
                  <c:v>29977.822343317737</c:v>
                </c:pt>
                <c:pt idx="4">
                  <c:v>21490.637922366568</c:v>
                </c:pt>
                <c:pt idx="5">
                  <c:v>18793.84640259976</c:v>
                </c:pt>
                <c:pt idx="6">
                  <c:v>12804.918989483891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Průměrná cena objednávky podle </a:t>
            </a:r>
            <a:r>
              <a:rPr lang="cs-CZ" sz="1800" b="1" i="0" u="none" strike="noStrike" baseline="0">
                <a:effectLst/>
              </a:rPr>
              <a:t>kanálů</a:t>
            </a:r>
            <a:endParaRPr lang="cs-CZ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organic!$A$64</c:f>
              <c:strCache>
                <c:ptCount val="1"/>
                <c:pt idx="0">
                  <c:v>organic - PCO</c:v>
                </c:pt>
              </c:strCache>
            </c:strRef>
          </c:tx>
          <c:marker>
            <c:symbol val="none"/>
          </c:marker>
          <c:cat>
            <c:strRef>
              <c:f>organic!$B$59:$Y$59</c:f>
              <c:strCache>
                <c:ptCount val="24"/>
                <c:pt idx="0">
                  <c:v>2011-09</c:v>
                </c:pt>
                <c:pt idx="1">
                  <c:v>2011-10</c:v>
                </c:pt>
                <c:pt idx="2">
                  <c:v>2011-11</c:v>
                </c:pt>
                <c:pt idx="3">
                  <c:v>2011-12</c:v>
                </c:pt>
                <c:pt idx="4">
                  <c:v>2012-01</c:v>
                </c:pt>
                <c:pt idx="5">
                  <c:v>2012-02</c:v>
                </c:pt>
                <c:pt idx="6">
                  <c:v>2012-03</c:v>
                </c:pt>
                <c:pt idx="7">
                  <c:v>2012-04</c:v>
                </c:pt>
                <c:pt idx="8">
                  <c:v>2012-06</c:v>
                </c:pt>
                <c:pt idx="9">
                  <c:v>2012-07</c:v>
                </c:pt>
                <c:pt idx="10">
                  <c:v>2012-08</c:v>
                </c:pt>
                <c:pt idx="11">
                  <c:v>2012-09</c:v>
                </c:pt>
                <c:pt idx="12">
                  <c:v>2012-10</c:v>
                </c:pt>
                <c:pt idx="13">
                  <c:v>2012-11</c:v>
                </c:pt>
                <c:pt idx="14">
                  <c:v>2012-12</c:v>
                </c:pt>
                <c:pt idx="15">
                  <c:v>2013-01</c:v>
                </c:pt>
                <c:pt idx="16">
                  <c:v>2013-02</c:v>
                </c:pt>
                <c:pt idx="17">
                  <c:v>2013-03</c:v>
                </c:pt>
                <c:pt idx="18">
                  <c:v>2013-04</c:v>
                </c:pt>
                <c:pt idx="19">
                  <c:v>2013-05</c:v>
                </c:pt>
                <c:pt idx="20">
                  <c:v>2013-06</c:v>
                </c:pt>
                <c:pt idx="21">
                  <c:v>2013-07</c:v>
                </c:pt>
                <c:pt idx="22">
                  <c:v>2013-08</c:v>
                </c:pt>
                <c:pt idx="23">
                  <c:v>2013-09</c:v>
                </c:pt>
              </c:strCache>
            </c:strRef>
          </c:cat>
          <c:val>
            <c:numRef>
              <c:f>organic!$B$64:$Y$64</c:f>
              <c:numCache>
                <c:formatCode>#,##0\ "Kč"</c:formatCode>
                <c:ptCount val="24"/>
                <c:pt idx="0">
                  <c:v>1214.9754864013216</c:v>
                </c:pt>
                <c:pt idx="1">
                  <c:v>1612.3615229261338</c:v>
                </c:pt>
                <c:pt idx="2">
                  <c:v>860.96790080832682</c:v>
                </c:pt>
                <c:pt idx="3">
                  <c:v>739.36414473744708</c:v>
                </c:pt>
                <c:pt idx="4">
                  <c:v>801.18360902291658</c:v>
                </c:pt>
                <c:pt idx="5">
                  <c:v>864.88537406454873</c:v>
                </c:pt>
                <c:pt idx="6">
                  <c:v>874.57495029683514</c:v>
                </c:pt>
                <c:pt idx="7">
                  <c:v>1881.9968115860702</c:v>
                </c:pt>
                <c:pt idx="8">
                  <c:v>1649.1429422854753</c:v>
                </c:pt>
                <c:pt idx="9">
                  <c:v>2519.6631356074713</c:v>
                </c:pt>
                <c:pt idx="10">
                  <c:v>1663.9441020178688</c:v>
                </c:pt>
                <c:pt idx="11">
                  <c:v>1151.911003432487</c:v>
                </c:pt>
                <c:pt idx="12">
                  <c:v>1682.8506477661876</c:v>
                </c:pt>
                <c:pt idx="13">
                  <c:v>1752.8254168136079</c:v>
                </c:pt>
                <c:pt idx="14">
                  <c:v>1585.0577032363387</c:v>
                </c:pt>
                <c:pt idx="15">
                  <c:v>2144.5103384672775</c:v>
                </c:pt>
                <c:pt idx="16">
                  <c:v>2011.6559538972651</c:v>
                </c:pt>
                <c:pt idx="17">
                  <c:v>1136.0187256313832</c:v>
                </c:pt>
                <c:pt idx="18">
                  <c:v>750.84707670938042</c:v>
                </c:pt>
                <c:pt idx="19">
                  <c:v>1280.3655189267404</c:v>
                </c:pt>
                <c:pt idx="20">
                  <c:v>1062.1415254940828</c:v>
                </c:pt>
                <c:pt idx="21">
                  <c:v>1390.6780682733809</c:v>
                </c:pt>
                <c:pt idx="22">
                  <c:v>1983.0191184003402</c:v>
                </c:pt>
                <c:pt idx="23">
                  <c:v>1486.1458072082917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cpc!$A$64</c:f>
              <c:strCache>
                <c:ptCount val="1"/>
                <c:pt idx="0">
                  <c:v>cpc - PCO</c:v>
                </c:pt>
              </c:strCache>
            </c:strRef>
          </c:tx>
          <c:marker>
            <c:symbol val="none"/>
          </c:marker>
          <c:cat>
            <c:strRef>
              <c:f>organic!$B$59:$Y$59</c:f>
              <c:strCache>
                <c:ptCount val="24"/>
                <c:pt idx="0">
                  <c:v>2011-09</c:v>
                </c:pt>
                <c:pt idx="1">
                  <c:v>2011-10</c:v>
                </c:pt>
                <c:pt idx="2">
                  <c:v>2011-11</c:v>
                </c:pt>
                <c:pt idx="3">
                  <c:v>2011-12</c:v>
                </c:pt>
                <c:pt idx="4">
                  <c:v>2012-01</c:v>
                </c:pt>
                <c:pt idx="5">
                  <c:v>2012-02</c:v>
                </c:pt>
                <c:pt idx="6">
                  <c:v>2012-03</c:v>
                </c:pt>
                <c:pt idx="7">
                  <c:v>2012-04</c:v>
                </c:pt>
                <c:pt idx="8">
                  <c:v>2012-06</c:v>
                </c:pt>
                <c:pt idx="9">
                  <c:v>2012-07</c:v>
                </c:pt>
                <c:pt idx="10">
                  <c:v>2012-08</c:v>
                </c:pt>
                <c:pt idx="11">
                  <c:v>2012-09</c:v>
                </c:pt>
                <c:pt idx="12">
                  <c:v>2012-10</c:v>
                </c:pt>
                <c:pt idx="13">
                  <c:v>2012-11</c:v>
                </c:pt>
                <c:pt idx="14">
                  <c:v>2012-12</c:v>
                </c:pt>
                <c:pt idx="15">
                  <c:v>2013-01</c:v>
                </c:pt>
                <c:pt idx="16">
                  <c:v>2013-02</c:v>
                </c:pt>
                <c:pt idx="17">
                  <c:v>2013-03</c:v>
                </c:pt>
                <c:pt idx="18">
                  <c:v>2013-04</c:v>
                </c:pt>
                <c:pt idx="19">
                  <c:v>2013-05</c:v>
                </c:pt>
                <c:pt idx="20">
                  <c:v>2013-06</c:v>
                </c:pt>
                <c:pt idx="21">
                  <c:v>2013-07</c:v>
                </c:pt>
                <c:pt idx="22">
                  <c:v>2013-08</c:v>
                </c:pt>
                <c:pt idx="23">
                  <c:v>2013-09</c:v>
                </c:pt>
              </c:strCache>
            </c:strRef>
          </c:cat>
          <c:val>
            <c:numRef>
              <c:f>cpc!$B$64:$Y$64</c:f>
              <c:numCache>
                <c:formatCode>#,##0\ "Kč"</c:formatCode>
                <c:ptCount val="24"/>
                <c:pt idx="0">
                  <c:v>960.15974586426967</c:v>
                </c:pt>
                <c:pt idx="1">
                  <c:v>842.08445324810771</c:v>
                </c:pt>
                <c:pt idx="2">
                  <c:v>1789.0637293047905</c:v>
                </c:pt>
                <c:pt idx="3">
                  <c:v>881.59212234200675</c:v>
                </c:pt>
                <c:pt idx="4">
                  <c:v>950.10937520809546</c:v>
                </c:pt>
                <c:pt idx="5">
                  <c:v>1826.1875084580111</c:v>
                </c:pt>
                <c:pt idx="6">
                  <c:v>2191.2980186555687</c:v>
                </c:pt>
                <c:pt idx="7">
                  <c:v>1252.4249529576593</c:v>
                </c:pt>
                <c:pt idx="8">
                  <c:v>2788.2200197067377</c:v>
                </c:pt>
                <c:pt idx="9">
                  <c:v>1578.6858297344056</c:v>
                </c:pt>
                <c:pt idx="10">
                  <c:v>2176.4445650757389</c:v>
                </c:pt>
                <c:pt idx="11">
                  <c:v>2194.4817816290065</c:v>
                </c:pt>
                <c:pt idx="12">
                  <c:v>1009.1923436090522</c:v>
                </c:pt>
                <c:pt idx="13">
                  <c:v>899.97518981189523</c:v>
                </c:pt>
                <c:pt idx="14">
                  <c:v>1161.1779036746568</c:v>
                </c:pt>
                <c:pt idx="15">
                  <c:v>1011.7806779767229</c:v>
                </c:pt>
                <c:pt idx="16">
                  <c:v>968.19786041650718</c:v>
                </c:pt>
                <c:pt idx="17">
                  <c:v>1085.7734410113985</c:v>
                </c:pt>
                <c:pt idx="18">
                  <c:v>2325.8742646040919</c:v>
                </c:pt>
                <c:pt idx="19">
                  <c:v>860.9993696261688</c:v>
                </c:pt>
                <c:pt idx="20">
                  <c:v>1135.3705806218547</c:v>
                </c:pt>
                <c:pt idx="21">
                  <c:v>1871.827988609861</c:v>
                </c:pt>
                <c:pt idx="22">
                  <c:v>2447.4784997325478</c:v>
                </c:pt>
                <c:pt idx="23">
                  <c:v>1421.9276462921334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zbožáky!$A$64</c:f>
              <c:strCache>
                <c:ptCount val="1"/>
                <c:pt idx="0">
                  <c:v>zbožáky - PCO</c:v>
                </c:pt>
              </c:strCache>
            </c:strRef>
          </c:tx>
          <c:marker>
            <c:symbol val="none"/>
          </c:marker>
          <c:cat>
            <c:strRef>
              <c:f>organic!$B$59:$Y$59</c:f>
              <c:strCache>
                <c:ptCount val="24"/>
                <c:pt idx="0">
                  <c:v>2011-09</c:v>
                </c:pt>
                <c:pt idx="1">
                  <c:v>2011-10</c:v>
                </c:pt>
                <c:pt idx="2">
                  <c:v>2011-11</c:v>
                </c:pt>
                <c:pt idx="3">
                  <c:v>2011-12</c:v>
                </c:pt>
                <c:pt idx="4">
                  <c:v>2012-01</c:v>
                </c:pt>
                <c:pt idx="5">
                  <c:v>2012-02</c:v>
                </c:pt>
                <c:pt idx="6">
                  <c:v>2012-03</c:v>
                </c:pt>
                <c:pt idx="7">
                  <c:v>2012-04</c:v>
                </c:pt>
                <c:pt idx="8">
                  <c:v>2012-06</c:v>
                </c:pt>
                <c:pt idx="9">
                  <c:v>2012-07</c:v>
                </c:pt>
                <c:pt idx="10">
                  <c:v>2012-08</c:v>
                </c:pt>
                <c:pt idx="11">
                  <c:v>2012-09</c:v>
                </c:pt>
                <c:pt idx="12">
                  <c:v>2012-10</c:v>
                </c:pt>
                <c:pt idx="13">
                  <c:v>2012-11</c:v>
                </c:pt>
                <c:pt idx="14">
                  <c:v>2012-12</c:v>
                </c:pt>
                <c:pt idx="15">
                  <c:v>2013-01</c:v>
                </c:pt>
                <c:pt idx="16">
                  <c:v>2013-02</c:v>
                </c:pt>
                <c:pt idx="17">
                  <c:v>2013-03</c:v>
                </c:pt>
                <c:pt idx="18">
                  <c:v>2013-04</c:v>
                </c:pt>
                <c:pt idx="19">
                  <c:v>2013-05</c:v>
                </c:pt>
                <c:pt idx="20">
                  <c:v>2013-06</c:v>
                </c:pt>
                <c:pt idx="21">
                  <c:v>2013-07</c:v>
                </c:pt>
                <c:pt idx="22">
                  <c:v>2013-08</c:v>
                </c:pt>
                <c:pt idx="23">
                  <c:v>2013-09</c:v>
                </c:pt>
              </c:strCache>
            </c:strRef>
          </c:cat>
          <c:val>
            <c:numRef>
              <c:f>zbožáky!$B$64:$Y$64</c:f>
              <c:numCache>
                <c:formatCode>#,##0\ "Kč"</c:formatCode>
                <c:ptCount val="24"/>
                <c:pt idx="0">
                  <c:v>1587.5813792809897</c:v>
                </c:pt>
                <c:pt idx="1">
                  <c:v>1180.4175210176966</c:v>
                </c:pt>
                <c:pt idx="2">
                  <c:v>1716.2375324498664</c:v>
                </c:pt>
                <c:pt idx="3">
                  <c:v>831.34237902251562</c:v>
                </c:pt>
                <c:pt idx="4">
                  <c:v>1092.7364140798852</c:v>
                </c:pt>
                <c:pt idx="5">
                  <c:v>2276.6110884633335</c:v>
                </c:pt>
                <c:pt idx="6">
                  <c:v>2721.950040784503</c:v>
                </c:pt>
                <c:pt idx="7">
                  <c:v>2592.1508282715122</c:v>
                </c:pt>
                <c:pt idx="8">
                  <c:v>1883.6054019056355</c:v>
                </c:pt>
                <c:pt idx="9">
                  <c:v>2035.4397572618147</c:v>
                </c:pt>
                <c:pt idx="10">
                  <c:v>1297.4304947081425</c:v>
                </c:pt>
                <c:pt idx="11">
                  <c:v>925.63305397222575</c:v>
                </c:pt>
                <c:pt idx="12">
                  <c:v>1477.2947238044464</c:v>
                </c:pt>
                <c:pt idx="13">
                  <c:v>1534.2107009560059</c:v>
                </c:pt>
                <c:pt idx="14">
                  <c:v>1054.7837865024087</c:v>
                </c:pt>
                <c:pt idx="15">
                  <c:v>2655.1979205929865</c:v>
                </c:pt>
                <c:pt idx="16">
                  <c:v>1537.4703232227739</c:v>
                </c:pt>
                <c:pt idx="17">
                  <c:v>1471.3355343981261</c:v>
                </c:pt>
                <c:pt idx="18">
                  <c:v>2575.5489400010856</c:v>
                </c:pt>
                <c:pt idx="19">
                  <c:v>1625.7406929787953</c:v>
                </c:pt>
                <c:pt idx="20">
                  <c:v>1302.9072887242114</c:v>
                </c:pt>
                <c:pt idx="21">
                  <c:v>1374.6612030019073</c:v>
                </c:pt>
                <c:pt idx="22">
                  <c:v>2227.2444860399332</c:v>
                </c:pt>
                <c:pt idx="23">
                  <c:v>1596.8367572268432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'direct,ref,mm,rtb'!$A$50</c:f>
              <c:strCache>
                <c:ptCount val="1"/>
                <c:pt idx="0">
                  <c:v>direct - PCO</c:v>
                </c:pt>
              </c:strCache>
            </c:strRef>
          </c:tx>
          <c:marker>
            <c:symbol val="none"/>
          </c:marker>
          <c:cat>
            <c:strRef>
              <c:f>organic!$B$59:$Y$59</c:f>
              <c:strCache>
                <c:ptCount val="24"/>
                <c:pt idx="0">
                  <c:v>2011-09</c:v>
                </c:pt>
                <c:pt idx="1">
                  <c:v>2011-10</c:v>
                </c:pt>
                <c:pt idx="2">
                  <c:v>2011-11</c:v>
                </c:pt>
                <c:pt idx="3">
                  <c:v>2011-12</c:v>
                </c:pt>
                <c:pt idx="4">
                  <c:v>2012-01</c:v>
                </c:pt>
                <c:pt idx="5">
                  <c:v>2012-02</c:v>
                </c:pt>
                <c:pt idx="6">
                  <c:v>2012-03</c:v>
                </c:pt>
                <c:pt idx="7">
                  <c:v>2012-04</c:v>
                </c:pt>
                <c:pt idx="8">
                  <c:v>2012-06</c:v>
                </c:pt>
                <c:pt idx="9">
                  <c:v>2012-07</c:v>
                </c:pt>
                <c:pt idx="10">
                  <c:v>2012-08</c:v>
                </c:pt>
                <c:pt idx="11">
                  <c:v>2012-09</c:v>
                </c:pt>
                <c:pt idx="12">
                  <c:v>2012-10</c:v>
                </c:pt>
                <c:pt idx="13">
                  <c:v>2012-11</c:v>
                </c:pt>
                <c:pt idx="14">
                  <c:v>2012-12</c:v>
                </c:pt>
                <c:pt idx="15">
                  <c:v>2013-01</c:v>
                </c:pt>
                <c:pt idx="16">
                  <c:v>2013-02</c:v>
                </c:pt>
                <c:pt idx="17">
                  <c:v>2013-03</c:v>
                </c:pt>
                <c:pt idx="18">
                  <c:v>2013-04</c:v>
                </c:pt>
                <c:pt idx="19">
                  <c:v>2013-05</c:v>
                </c:pt>
                <c:pt idx="20">
                  <c:v>2013-06</c:v>
                </c:pt>
                <c:pt idx="21">
                  <c:v>2013-07</c:v>
                </c:pt>
                <c:pt idx="22">
                  <c:v>2013-08</c:v>
                </c:pt>
                <c:pt idx="23">
                  <c:v>2013-09</c:v>
                </c:pt>
              </c:strCache>
            </c:strRef>
          </c:cat>
          <c:val>
            <c:numRef>
              <c:f>'direct,ref,mm,rtb'!$B$50:$Y$50</c:f>
              <c:numCache>
                <c:formatCode>#,##0\ "Kč"</c:formatCode>
                <c:ptCount val="24"/>
                <c:pt idx="0">
                  <c:v>1388.5807269129684</c:v>
                </c:pt>
                <c:pt idx="1">
                  <c:v>1211.2813361331405</c:v>
                </c:pt>
                <c:pt idx="2">
                  <c:v>1028.8984346198072</c:v>
                </c:pt>
                <c:pt idx="3">
                  <c:v>912.46605057824729</c:v>
                </c:pt>
                <c:pt idx="4">
                  <c:v>1130.2448352332465</c:v>
                </c:pt>
                <c:pt idx="5">
                  <c:v>1674.4761313638505</c:v>
                </c:pt>
                <c:pt idx="6">
                  <c:v>3328.4648069861751</c:v>
                </c:pt>
                <c:pt idx="7">
                  <c:v>1773.4103488076385</c:v>
                </c:pt>
                <c:pt idx="8">
                  <c:v>1962.3227401951815</c:v>
                </c:pt>
                <c:pt idx="9">
                  <c:v>2032.5802363134062</c:v>
                </c:pt>
                <c:pt idx="10">
                  <c:v>1721.3134299768617</c:v>
                </c:pt>
                <c:pt idx="11">
                  <c:v>1570.7985182403247</c:v>
                </c:pt>
                <c:pt idx="12">
                  <c:v>1172.8246674141633</c:v>
                </c:pt>
                <c:pt idx="13">
                  <c:v>2240.525650754867</c:v>
                </c:pt>
                <c:pt idx="14">
                  <c:v>1685.6091965539483</c:v>
                </c:pt>
                <c:pt idx="15">
                  <c:v>1437.0215620729214</c:v>
                </c:pt>
                <c:pt idx="16">
                  <c:v>1241.3000559308955</c:v>
                </c:pt>
                <c:pt idx="17">
                  <c:v>2434.6512914438254</c:v>
                </c:pt>
                <c:pt idx="18">
                  <c:v>1534.1106776601484</c:v>
                </c:pt>
                <c:pt idx="19">
                  <c:v>1125.6201130050636</c:v>
                </c:pt>
                <c:pt idx="20">
                  <c:v>1988.9860218079571</c:v>
                </c:pt>
                <c:pt idx="21">
                  <c:v>2393.6537156887716</c:v>
                </c:pt>
                <c:pt idx="22">
                  <c:v>2902.724260074277</c:v>
                </c:pt>
                <c:pt idx="23">
                  <c:v>1508.2972869113855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'direct,ref,mm,rtb'!$A$62</c:f>
              <c:strCache>
                <c:ptCount val="1"/>
                <c:pt idx="0">
                  <c:v>referral - PCO</c:v>
                </c:pt>
              </c:strCache>
            </c:strRef>
          </c:tx>
          <c:marker>
            <c:symbol val="none"/>
          </c:marker>
          <c:cat>
            <c:strRef>
              <c:f>organic!$B$59:$Y$59</c:f>
              <c:strCache>
                <c:ptCount val="24"/>
                <c:pt idx="0">
                  <c:v>2011-09</c:v>
                </c:pt>
                <c:pt idx="1">
                  <c:v>2011-10</c:v>
                </c:pt>
                <c:pt idx="2">
                  <c:v>2011-11</c:v>
                </c:pt>
                <c:pt idx="3">
                  <c:v>2011-12</c:v>
                </c:pt>
                <c:pt idx="4">
                  <c:v>2012-01</c:v>
                </c:pt>
                <c:pt idx="5">
                  <c:v>2012-02</c:v>
                </c:pt>
                <c:pt idx="6">
                  <c:v>2012-03</c:v>
                </c:pt>
                <c:pt idx="7">
                  <c:v>2012-04</c:v>
                </c:pt>
                <c:pt idx="8">
                  <c:v>2012-06</c:v>
                </c:pt>
                <c:pt idx="9">
                  <c:v>2012-07</c:v>
                </c:pt>
                <c:pt idx="10">
                  <c:v>2012-08</c:v>
                </c:pt>
                <c:pt idx="11">
                  <c:v>2012-09</c:v>
                </c:pt>
                <c:pt idx="12">
                  <c:v>2012-10</c:v>
                </c:pt>
                <c:pt idx="13">
                  <c:v>2012-11</c:v>
                </c:pt>
                <c:pt idx="14">
                  <c:v>2012-12</c:v>
                </c:pt>
                <c:pt idx="15">
                  <c:v>2013-01</c:v>
                </c:pt>
                <c:pt idx="16">
                  <c:v>2013-02</c:v>
                </c:pt>
                <c:pt idx="17">
                  <c:v>2013-03</c:v>
                </c:pt>
                <c:pt idx="18">
                  <c:v>2013-04</c:v>
                </c:pt>
                <c:pt idx="19">
                  <c:v>2013-05</c:v>
                </c:pt>
                <c:pt idx="20">
                  <c:v>2013-06</c:v>
                </c:pt>
                <c:pt idx="21">
                  <c:v>2013-07</c:v>
                </c:pt>
                <c:pt idx="22">
                  <c:v>2013-08</c:v>
                </c:pt>
                <c:pt idx="23">
                  <c:v>2013-09</c:v>
                </c:pt>
              </c:strCache>
            </c:strRef>
          </c:cat>
          <c:val>
            <c:numRef>
              <c:f>'direct,ref,mm,rtb'!$B$62:$Y$62</c:f>
              <c:numCache>
                <c:formatCode>#,##0\ "Kč"</c:formatCode>
                <c:ptCount val="24"/>
                <c:pt idx="0">
                  <c:v>2128.7815657768392</c:v>
                </c:pt>
                <c:pt idx="1">
                  <c:v>1076.2970114087357</c:v>
                </c:pt>
                <c:pt idx="2">
                  <c:v>1380.4274700863025</c:v>
                </c:pt>
                <c:pt idx="3">
                  <c:v>1136.4130181486062</c:v>
                </c:pt>
                <c:pt idx="4">
                  <c:v>2073.4756296105033</c:v>
                </c:pt>
                <c:pt idx="5">
                  <c:v>1058.1477218388886</c:v>
                </c:pt>
                <c:pt idx="6">
                  <c:v>2403.1299374794335</c:v>
                </c:pt>
                <c:pt idx="7">
                  <c:v>832.98870897908523</c:v>
                </c:pt>
                <c:pt idx="8">
                  <c:v>1382.1498982904707</c:v>
                </c:pt>
                <c:pt idx="9">
                  <c:v>1340.4026019810685</c:v>
                </c:pt>
                <c:pt idx="10">
                  <c:v>958.71995220574308</c:v>
                </c:pt>
                <c:pt idx="11">
                  <c:v>2074.3789604185158</c:v>
                </c:pt>
                <c:pt idx="12">
                  <c:v>1459.395707439442</c:v>
                </c:pt>
                <c:pt idx="13">
                  <c:v>780.04328784219058</c:v>
                </c:pt>
                <c:pt idx="14">
                  <c:v>1381.1851901215034</c:v>
                </c:pt>
                <c:pt idx="15">
                  <c:v>1275.4395658776364</c:v>
                </c:pt>
                <c:pt idx="16">
                  <c:v>1577.5860688717071</c:v>
                </c:pt>
                <c:pt idx="17">
                  <c:v>1610.8008803851928</c:v>
                </c:pt>
                <c:pt idx="18">
                  <c:v>1939.3019672524349</c:v>
                </c:pt>
                <c:pt idx="19">
                  <c:v>2090.3321269754738</c:v>
                </c:pt>
                <c:pt idx="20">
                  <c:v>1386.4016965146143</c:v>
                </c:pt>
                <c:pt idx="21">
                  <c:v>2612.4317901361733</c:v>
                </c:pt>
                <c:pt idx="22">
                  <c:v>2159.2852728618022</c:v>
                </c:pt>
                <c:pt idx="23">
                  <c:v>2109.8944548464719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862912"/>
        <c:axId val="65261504"/>
      </c:lineChart>
      <c:catAx>
        <c:axId val="133862912"/>
        <c:scaling>
          <c:orientation val="minMax"/>
        </c:scaling>
        <c:delete val="0"/>
        <c:axPos val="b"/>
        <c:majorTickMark val="none"/>
        <c:minorTickMark val="none"/>
        <c:tickLblPos val="nextTo"/>
        <c:crossAx val="65261504"/>
        <c:crosses val="autoZero"/>
        <c:auto val="1"/>
        <c:lblAlgn val="ctr"/>
        <c:lblOffset val="100"/>
        <c:noMultiLvlLbl val="0"/>
      </c:catAx>
      <c:valAx>
        <c:axId val="65261504"/>
        <c:scaling>
          <c:orientation val="minMax"/>
        </c:scaling>
        <c:delete val="0"/>
        <c:axPos val="l"/>
        <c:majorGridlines/>
        <c:numFmt formatCode="#,##0\ &quot;Kč&quot;" sourceLinked="1"/>
        <c:majorTickMark val="none"/>
        <c:minorTickMark val="none"/>
        <c:tickLblPos val="nextTo"/>
        <c:crossAx val="13386291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paperSize="9"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Návštěvy a KP - organic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organic!$A$60</c:f>
              <c:strCache>
                <c:ptCount val="1"/>
                <c:pt idx="0">
                  <c:v>organic - Návštěvy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organic!$B$59:$Y$59</c:f>
              <c:strCache>
                <c:ptCount val="24"/>
                <c:pt idx="0">
                  <c:v>2011-09</c:v>
                </c:pt>
                <c:pt idx="1">
                  <c:v>2011-10</c:v>
                </c:pt>
                <c:pt idx="2">
                  <c:v>2011-11</c:v>
                </c:pt>
                <c:pt idx="3">
                  <c:v>2011-12</c:v>
                </c:pt>
                <c:pt idx="4">
                  <c:v>2012-01</c:v>
                </c:pt>
                <c:pt idx="5">
                  <c:v>2012-02</c:v>
                </c:pt>
                <c:pt idx="6">
                  <c:v>2012-03</c:v>
                </c:pt>
                <c:pt idx="7">
                  <c:v>2012-04</c:v>
                </c:pt>
                <c:pt idx="8">
                  <c:v>2012-06</c:v>
                </c:pt>
                <c:pt idx="9">
                  <c:v>2012-07</c:v>
                </c:pt>
                <c:pt idx="10">
                  <c:v>2012-08</c:v>
                </c:pt>
                <c:pt idx="11">
                  <c:v>2012-09</c:v>
                </c:pt>
                <c:pt idx="12">
                  <c:v>2012-10</c:v>
                </c:pt>
                <c:pt idx="13">
                  <c:v>2012-11</c:v>
                </c:pt>
                <c:pt idx="14">
                  <c:v>2012-12</c:v>
                </c:pt>
                <c:pt idx="15">
                  <c:v>2013-01</c:v>
                </c:pt>
                <c:pt idx="16">
                  <c:v>2013-02</c:v>
                </c:pt>
                <c:pt idx="17">
                  <c:v>2013-03</c:v>
                </c:pt>
                <c:pt idx="18">
                  <c:v>2013-04</c:v>
                </c:pt>
                <c:pt idx="19">
                  <c:v>2013-05</c:v>
                </c:pt>
                <c:pt idx="20">
                  <c:v>2013-06</c:v>
                </c:pt>
                <c:pt idx="21">
                  <c:v>2013-07</c:v>
                </c:pt>
                <c:pt idx="22">
                  <c:v>2013-08</c:v>
                </c:pt>
                <c:pt idx="23">
                  <c:v>2013-09</c:v>
                </c:pt>
              </c:strCache>
            </c:strRef>
          </c:cat>
          <c:val>
            <c:numRef>
              <c:f>organic!$B$60:$Y$60</c:f>
              <c:numCache>
                <c:formatCode>#,##0</c:formatCode>
                <c:ptCount val="24"/>
                <c:pt idx="0">
                  <c:v>99656.742747810174</c:v>
                </c:pt>
                <c:pt idx="1">
                  <c:v>80064.502495705034</c:v>
                </c:pt>
                <c:pt idx="2">
                  <c:v>68371.299986079393</c:v>
                </c:pt>
                <c:pt idx="3">
                  <c:v>87449.295353422916</c:v>
                </c:pt>
                <c:pt idx="4">
                  <c:v>78103.011569383685</c:v>
                </c:pt>
                <c:pt idx="5">
                  <c:v>122182.86486047367</c:v>
                </c:pt>
                <c:pt idx="6">
                  <c:v>78205.523463715814</c:v>
                </c:pt>
                <c:pt idx="7">
                  <c:v>86218.631306354539</c:v>
                </c:pt>
                <c:pt idx="8">
                  <c:v>80377.725261953587</c:v>
                </c:pt>
                <c:pt idx="9">
                  <c:v>82380.737529712598</c:v>
                </c:pt>
                <c:pt idx="10">
                  <c:v>53687.036697150113</c:v>
                </c:pt>
                <c:pt idx="11">
                  <c:v>70470.322270727906</c:v>
                </c:pt>
                <c:pt idx="12">
                  <c:v>80811.045933507135</c:v>
                </c:pt>
                <c:pt idx="13">
                  <c:v>99236.506563698524</c:v>
                </c:pt>
                <c:pt idx="14">
                  <c:v>108978.76545963682</c:v>
                </c:pt>
                <c:pt idx="15">
                  <c:v>94297.805145445789</c:v>
                </c:pt>
                <c:pt idx="16">
                  <c:v>79799.250685004503</c:v>
                </c:pt>
                <c:pt idx="17">
                  <c:v>66704.643397366395</c:v>
                </c:pt>
                <c:pt idx="18">
                  <c:v>66959.510983824061</c:v>
                </c:pt>
                <c:pt idx="19">
                  <c:v>90304.186882486058</c:v>
                </c:pt>
                <c:pt idx="20">
                  <c:v>81793.447129666965</c:v>
                </c:pt>
                <c:pt idx="21">
                  <c:v>61163.218020243228</c:v>
                </c:pt>
                <c:pt idx="22">
                  <c:v>67628.705168956119</c:v>
                </c:pt>
                <c:pt idx="23">
                  <c:v>67254.796128580099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2574080"/>
        <c:axId val="65263232"/>
      </c:barChart>
      <c:lineChart>
        <c:grouping val="standard"/>
        <c:varyColors val="0"/>
        <c:ser>
          <c:idx val="1"/>
          <c:order val="1"/>
          <c:tx>
            <c:strRef>
              <c:f>organic!$A$63</c:f>
              <c:strCache>
                <c:ptCount val="1"/>
                <c:pt idx="0">
                  <c:v>organic - KP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rgbClr val="4F81BD"/>
                </a:solidFill>
              </a:ln>
            </c:spPr>
          </c:marker>
          <c:cat>
            <c:strRef>
              <c:f>organic!$B$59:$Y$59</c:f>
              <c:strCache>
                <c:ptCount val="24"/>
                <c:pt idx="0">
                  <c:v>2011-09</c:v>
                </c:pt>
                <c:pt idx="1">
                  <c:v>2011-10</c:v>
                </c:pt>
                <c:pt idx="2">
                  <c:v>2011-11</c:v>
                </c:pt>
                <c:pt idx="3">
                  <c:v>2011-12</c:v>
                </c:pt>
                <c:pt idx="4">
                  <c:v>2012-01</c:v>
                </c:pt>
                <c:pt idx="5">
                  <c:v>2012-02</c:v>
                </c:pt>
                <c:pt idx="6">
                  <c:v>2012-03</c:v>
                </c:pt>
                <c:pt idx="7">
                  <c:v>2012-04</c:v>
                </c:pt>
                <c:pt idx="8">
                  <c:v>2012-06</c:v>
                </c:pt>
                <c:pt idx="9">
                  <c:v>2012-07</c:v>
                </c:pt>
                <c:pt idx="10">
                  <c:v>2012-08</c:v>
                </c:pt>
                <c:pt idx="11">
                  <c:v>2012-09</c:v>
                </c:pt>
                <c:pt idx="12">
                  <c:v>2012-10</c:v>
                </c:pt>
                <c:pt idx="13">
                  <c:v>2012-11</c:v>
                </c:pt>
                <c:pt idx="14">
                  <c:v>2012-12</c:v>
                </c:pt>
                <c:pt idx="15">
                  <c:v>2013-01</c:v>
                </c:pt>
                <c:pt idx="16">
                  <c:v>2013-02</c:v>
                </c:pt>
                <c:pt idx="17">
                  <c:v>2013-03</c:v>
                </c:pt>
                <c:pt idx="18">
                  <c:v>2013-04</c:v>
                </c:pt>
                <c:pt idx="19">
                  <c:v>2013-05</c:v>
                </c:pt>
                <c:pt idx="20">
                  <c:v>2013-06</c:v>
                </c:pt>
                <c:pt idx="21">
                  <c:v>2013-07</c:v>
                </c:pt>
                <c:pt idx="22">
                  <c:v>2013-08</c:v>
                </c:pt>
                <c:pt idx="23">
                  <c:v>2013-09</c:v>
                </c:pt>
              </c:strCache>
            </c:strRef>
          </c:cat>
          <c:val>
            <c:numRef>
              <c:f>organic!$B$63:$Y$63</c:f>
              <c:numCache>
                <c:formatCode>0.00%</c:formatCode>
                <c:ptCount val="24"/>
                <c:pt idx="0">
                  <c:v>1.3426304381102526E-2</c:v>
                </c:pt>
                <c:pt idx="1">
                  <c:v>1.1439916074664472E-2</c:v>
                </c:pt>
                <c:pt idx="2">
                  <c:v>3.0645036787049787E-2</c:v>
                </c:pt>
                <c:pt idx="3">
                  <c:v>2.2041954748704538E-2</c:v>
                </c:pt>
                <c:pt idx="4">
                  <c:v>1.8115153451974678E-2</c:v>
                </c:pt>
                <c:pt idx="5">
                  <c:v>1.1346549653021908E-2</c:v>
                </c:pt>
                <c:pt idx="6">
                  <c:v>1.6304654544788934E-2</c:v>
                </c:pt>
                <c:pt idx="7">
                  <c:v>8.3484525305843622E-3</c:v>
                </c:pt>
                <c:pt idx="8">
                  <c:v>1.7523879019714056E-2</c:v>
                </c:pt>
                <c:pt idx="9">
                  <c:v>1.0445905317356825E-2</c:v>
                </c:pt>
                <c:pt idx="10">
                  <c:v>2.5528559782195714E-2</c:v>
                </c:pt>
                <c:pt idx="11">
                  <c:v>1.3901476932044588E-2</c:v>
                </c:pt>
                <c:pt idx="12">
                  <c:v>1.2534345428844369E-2</c:v>
                </c:pt>
                <c:pt idx="13">
                  <c:v>1.3840860354089742E-2</c:v>
                </c:pt>
                <c:pt idx="14">
                  <c:v>1.4801374605444135E-2</c:v>
                </c:pt>
                <c:pt idx="15">
                  <c:v>1.1252752854152474E-2</c:v>
                </c:pt>
                <c:pt idx="16">
                  <c:v>9.9013887437394005E-3</c:v>
                </c:pt>
                <c:pt idx="17">
                  <c:v>1.7773820388710719E-2</c:v>
                </c:pt>
                <c:pt idx="18">
                  <c:v>2.6636056018119646E-2</c:v>
                </c:pt>
                <c:pt idx="19">
                  <c:v>1.0614524433639121E-2</c:v>
                </c:pt>
                <c:pt idx="20">
                  <c:v>1.5617243266511554E-2</c:v>
                </c:pt>
                <c:pt idx="21">
                  <c:v>2.722420566502155E-2</c:v>
                </c:pt>
                <c:pt idx="22">
                  <c:v>1.5542952136608137E-2</c:v>
                </c:pt>
                <c:pt idx="23">
                  <c:v>1.7422749141242321E-2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864960"/>
        <c:axId val="64710336"/>
      </c:lineChart>
      <c:catAx>
        <c:axId val="133864960"/>
        <c:scaling>
          <c:orientation val="minMax"/>
        </c:scaling>
        <c:delete val="0"/>
        <c:axPos val="b"/>
        <c:majorTickMark val="none"/>
        <c:minorTickMark val="none"/>
        <c:tickLblPos val="nextTo"/>
        <c:crossAx val="64710336"/>
        <c:crosses val="autoZero"/>
        <c:auto val="1"/>
        <c:lblAlgn val="ctr"/>
        <c:lblOffset val="100"/>
        <c:noMultiLvlLbl val="0"/>
      </c:catAx>
      <c:valAx>
        <c:axId val="64710336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33864960"/>
        <c:crosses val="autoZero"/>
        <c:crossBetween val="between"/>
      </c:valAx>
      <c:valAx>
        <c:axId val="65263232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crossAx val="142574080"/>
        <c:crosses val="max"/>
        <c:crossBetween val="between"/>
      </c:valAx>
      <c:catAx>
        <c:axId val="142574080"/>
        <c:scaling>
          <c:orientation val="minMax"/>
        </c:scaling>
        <c:delete val="1"/>
        <c:axPos val="b"/>
        <c:majorTickMark val="out"/>
        <c:minorTickMark val="none"/>
        <c:tickLblPos val="none"/>
        <c:crossAx val="65263232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Transakce a obrat</a:t>
            </a:r>
            <a:r>
              <a:rPr lang="cs-CZ" baseline="0"/>
              <a:t> </a:t>
            </a:r>
            <a:r>
              <a:rPr lang="cs-CZ"/>
              <a:t>- organic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organic!$A$62</c:f>
              <c:strCache>
                <c:ptCount val="1"/>
                <c:pt idx="0">
                  <c:v>organic - Obrat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organic!$B$59:$Y$59</c:f>
              <c:strCache>
                <c:ptCount val="24"/>
                <c:pt idx="0">
                  <c:v>2011-09</c:v>
                </c:pt>
                <c:pt idx="1">
                  <c:v>2011-10</c:v>
                </c:pt>
                <c:pt idx="2">
                  <c:v>2011-11</c:v>
                </c:pt>
                <c:pt idx="3">
                  <c:v>2011-12</c:v>
                </c:pt>
                <c:pt idx="4">
                  <c:v>2012-01</c:v>
                </c:pt>
                <c:pt idx="5">
                  <c:v>2012-02</c:v>
                </c:pt>
                <c:pt idx="6">
                  <c:v>2012-03</c:v>
                </c:pt>
                <c:pt idx="7">
                  <c:v>2012-04</c:v>
                </c:pt>
                <c:pt idx="8">
                  <c:v>2012-06</c:v>
                </c:pt>
                <c:pt idx="9">
                  <c:v>2012-07</c:v>
                </c:pt>
                <c:pt idx="10">
                  <c:v>2012-08</c:v>
                </c:pt>
                <c:pt idx="11">
                  <c:v>2012-09</c:v>
                </c:pt>
                <c:pt idx="12">
                  <c:v>2012-10</c:v>
                </c:pt>
                <c:pt idx="13">
                  <c:v>2012-11</c:v>
                </c:pt>
                <c:pt idx="14">
                  <c:v>2012-12</c:v>
                </c:pt>
                <c:pt idx="15">
                  <c:v>2013-01</c:v>
                </c:pt>
                <c:pt idx="16">
                  <c:v>2013-02</c:v>
                </c:pt>
                <c:pt idx="17">
                  <c:v>2013-03</c:v>
                </c:pt>
                <c:pt idx="18">
                  <c:v>2013-04</c:v>
                </c:pt>
                <c:pt idx="19">
                  <c:v>2013-05</c:v>
                </c:pt>
                <c:pt idx="20">
                  <c:v>2013-06</c:v>
                </c:pt>
                <c:pt idx="21">
                  <c:v>2013-07</c:v>
                </c:pt>
                <c:pt idx="22">
                  <c:v>2013-08</c:v>
                </c:pt>
                <c:pt idx="23">
                  <c:v>2013-09</c:v>
                </c:pt>
              </c:strCache>
            </c:strRef>
          </c:cat>
          <c:val>
            <c:numRef>
              <c:f>organic!$B$62:$Y$62</c:f>
              <c:numCache>
                <c:formatCode>#,##0\ "Kč"</c:formatCode>
                <c:ptCount val="24"/>
                <c:pt idx="0">
                  <c:v>1625663.6408115267</c:v>
                </c:pt>
                <c:pt idx="1">
                  <c:v>1476812.2069699597</c:v>
                </c:pt>
                <c:pt idx="2">
                  <c:v>1803935.2482572517</c:v>
                </c:pt>
                <c:pt idx="3">
                  <c:v>1425163.8791495946</c:v>
                </c:pt>
                <c:pt idx="4">
                  <c:v>1133553.058618366</c:v>
                </c:pt>
                <c:pt idx="5">
                  <c:v>1199037.2484804031</c:v>
                </c:pt>
                <c:pt idx="6">
                  <c:v>1115182.8012782668</c:v>
                </c:pt>
                <c:pt idx="7">
                  <c:v>1354646.5326466509</c:v>
                </c:pt>
                <c:pt idx="8">
                  <c:v>2322866.5389582659</c:v>
                </c:pt>
                <c:pt idx="9">
                  <c:v>2168274.4024570547</c:v>
                </c:pt>
                <c:pt idx="10">
                  <c:v>2280523.1246861676</c:v>
                </c:pt>
                <c:pt idx="11">
                  <c:v>1128459.8917390101</c:v>
                </c:pt>
                <c:pt idx="12">
                  <c:v>1704582.2476397217</c:v>
                </c:pt>
                <c:pt idx="13">
                  <c:v>2407538.3640369996</c:v>
                </c:pt>
                <c:pt idx="14">
                  <c:v>2556754.3949674726</c:v>
                </c:pt>
                <c:pt idx="15">
                  <c:v>2275561.142202056</c:v>
                </c:pt>
                <c:pt idx="16">
                  <c:v>1589456.4469352737</c:v>
                </c:pt>
                <c:pt idx="17">
                  <c:v>1346859.6555919629</c:v>
                </c:pt>
                <c:pt idx="18">
                  <c:v>1339163.7570281446</c:v>
                </c:pt>
                <c:pt idx="19">
                  <c:v>1227276.4406480754</c:v>
                </c:pt>
                <c:pt idx="20">
                  <c:v>1356767.0104299367</c:v>
                </c:pt>
                <c:pt idx="21">
                  <c:v>2315645.9019208914</c:v>
                </c:pt>
                <c:pt idx="22">
                  <c:v>2084450.0059375125</c:v>
                </c:pt>
                <c:pt idx="23">
                  <c:v>1741411.3256157408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2576128"/>
        <c:axId val="142764288"/>
      </c:barChart>
      <c:lineChart>
        <c:grouping val="standard"/>
        <c:varyColors val="0"/>
        <c:ser>
          <c:idx val="0"/>
          <c:order val="0"/>
          <c:tx>
            <c:strRef>
              <c:f>organic!$A$61</c:f>
              <c:strCache>
                <c:ptCount val="1"/>
                <c:pt idx="0">
                  <c:v>organic - Transakce</c:v>
                </c:pt>
              </c:strCache>
            </c:strRef>
          </c:tx>
          <c:cat>
            <c:strRef>
              <c:f>organic!$B$59:$Y$59</c:f>
              <c:strCache>
                <c:ptCount val="24"/>
                <c:pt idx="0">
                  <c:v>2011-09</c:v>
                </c:pt>
                <c:pt idx="1">
                  <c:v>2011-10</c:v>
                </c:pt>
                <c:pt idx="2">
                  <c:v>2011-11</c:v>
                </c:pt>
                <c:pt idx="3">
                  <c:v>2011-12</c:v>
                </c:pt>
                <c:pt idx="4">
                  <c:v>2012-01</c:v>
                </c:pt>
                <c:pt idx="5">
                  <c:v>2012-02</c:v>
                </c:pt>
                <c:pt idx="6">
                  <c:v>2012-03</c:v>
                </c:pt>
                <c:pt idx="7">
                  <c:v>2012-04</c:v>
                </c:pt>
                <c:pt idx="8">
                  <c:v>2012-06</c:v>
                </c:pt>
                <c:pt idx="9">
                  <c:v>2012-07</c:v>
                </c:pt>
                <c:pt idx="10">
                  <c:v>2012-08</c:v>
                </c:pt>
                <c:pt idx="11">
                  <c:v>2012-09</c:v>
                </c:pt>
                <c:pt idx="12">
                  <c:v>2012-10</c:v>
                </c:pt>
                <c:pt idx="13">
                  <c:v>2012-11</c:v>
                </c:pt>
                <c:pt idx="14">
                  <c:v>2012-12</c:v>
                </c:pt>
                <c:pt idx="15">
                  <c:v>2013-01</c:v>
                </c:pt>
                <c:pt idx="16">
                  <c:v>2013-02</c:v>
                </c:pt>
                <c:pt idx="17">
                  <c:v>2013-03</c:v>
                </c:pt>
                <c:pt idx="18">
                  <c:v>2013-04</c:v>
                </c:pt>
                <c:pt idx="19">
                  <c:v>2013-05</c:v>
                </c:pt>
                <c:pt idx="20">
                  <c:v>2013-06</c:v>
                </c:pt>
                <c:pt idx="21">
                  <c:v>2013-07</c:v>
                </c:pt>
                <c:pt idx="22">
                  <c:v>2013-08</c:v>
                </c:pt>
                <c:pt idx="23">
                  <c:v>2013-09</c:v>
                </c:pt>
              </c:strCache>
            </c:strRef>
          </c:cat>
          <c:val>
            <c:numRef>
              <c:f>organic!$B$61:$Y$61</c:f>
              <c:numCache>
                <c:formatCode>#,##0</c:formatCode>
                <c:ptCount val="24"/>
                <c:pt idx="0">
                  <c:v>1338.0217617613312</c:v>
                </c:pt>
                <c:pt idx="1">
                  <c:v>915.9311891106297</c:v>
                </c:pt>
                <c:pt idx="2">
                  <c:v>2095.2410032518196</c:v>
                </c:pt>
                <c:pt idx="3">
                  <c:v>1927.553410986246</c:v>
                </c:pt>
                <c:pt idx="4">
                  <c:v>1414.8480396407392</c:v>
                </c:pt>
                <c:pt idx="5">
                  <c:v>1386.3539428878303</c:v>
                </c:pt>
                <c:pt idx="6">
                  <c:v>1275.1140435702716</c:v>
                </c:pt>
                <c:pt idx="7">
                  <c:v>719.79215071305566</c:v>
                </c:pt>
                <c:pt idx="8">
                  <c:v>1408.5295333702888</c:v>
                </c:pt>
                <c:pt idx="9">
                  <c:v>860.54138420940171</c:v>
                </c:pt>
                <c:pt idx="10">
                  <c:v>1370.5527258521317</c:v>
                </c:pt>
                <c:pt idx="11">
                  <c:v>979.64155944027198</c:v>
                </c:pt>
                <c:pt idx="12">
                  <c:v>1012.9135641967874</c:v>
                </c:pt>
                <c:pt idx="13">
                  <c:v>1373.5186293758613</c:v>
                </c:pt>
                <c:pt idx="14">
                  <c:v>1613.0355316069208</c:v>
                </c:pt>
                <c:pt idx="15">
                  <c:v>1061.109895990729</c:v>
                </c:pt>
                <c:pt idx="16">
                  <c:v>790.12340249134218</c:v>
                </c:pt>
                <c:pt idx="17">
                  <c:v>1185.5963508377886</c:v>
                </c:pt>
                <c:pt idx="18">
                  <c:v>1783.5372855110354</c:v>
                </c:pt>
                <c:pt idx="19">
                  <c:v>958.53599812406173</c:v>
                </c:pt>
                <c:pt idx="20">
                  <c:v>1277.3881614305601</c:v>
                </c:pt>
                <c:pt idx="21">
                  <c:v>1665.1200265176537</c:v>
                </c:pt>
                <c:pt idx="22">
                  <c:v>1051.1497275018683</c:v>
                </c:pt>
                <c:pt idx="23">
                  <c:v>1171.7634414936463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575104"/>
        <c:axId val="142763712"/>
      </c:lineChart>
      <c:catAx>
        <c:axId val="142575104"/>
        <c:scaling>
          <c:orientation val="minMax"/>
        </c:scaling>
        <c:delete val="0"/>
        <c:axPos val="b"/>
        <c:majorTickMark val="none"/>
        <c:minorTickMark val="none"/>
        <c:tickLblPos val="nextTo"/>
        <c:crossAx val="142763712"/>
        <c:crosses val="autoZero"/>
        <c:auto val="1"/>
        <c:lblAlgn val="ctr"/>
        <c:lblOffset val="100"/>
        <c:noMultiLvlLbl val="0"/>
      </c:catAx>
      <c:valAx>
        <c:axId val="14276371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42575104"/>
        <c:crosses val="autoZero"/>
        <c:crossBetween val="between"/>
      </c:valAx>
      <c:valAx>
        <c:axId val="142764288"/>
        <c:scaling>
          <c:orientation val="minMax"/>
        </c:scaling>
        <c:delete val="0"/>
        <c:axPos val="r"/>
        <c:numFmt formatCode="#,##0\ &quot;Kč&quot;" sourceLinked="1"/>
        <c:majorTickMark val="out"/>
        <c:minorTickMark val="none"/>
        <c:tickLblPos val="nextTo"/>
        <c:crossAx val="142576128"/>
        <c:crosses val="max"/>
        <c:crossBetween val="between"/>
      </c:valAx>
      <c:catAx>
        <c:axId val="142576128"/>
        <c:scaling>
          <c:orientation val="minMax"/>
        </c:scaling>
        <c:delete val="1"/>
        <c:axPos val="b"/>
        <c:majorTickMark val="out"/>
        <c:minorTickMark val="none"/>
        <c:tickLblPos val="none"/>
        <c:crossAx val="142764288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Návštěvy organic - seznam vs. google vs. ost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organic!$A$65</c:f>
              <c:strCache>
                <c:ptCount val="1"/>
                <c:pt idx="0">
                  <c:v>seznam - Návštěvy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organic!$B$59:$Y$59</c:f>
              <c:strCache>
                <c:ptCount val="24"/>
                <c:pt idx="0">
                  <c:v>2011-09</c:v>
                </c:pt>
                <c:pt idx="1">
                  <c:v>2011-10</c:v>
                </c:pt>
                <c:pt idx="2">
                  <c:v>2011-11</c:v>
                </c:pt>
                <c:pt idx="3">
                  <c:v>2011-12</c:v>
                </c:pt>
                <c:pt idx="4">
                  <c:v>2012-01</c:v>
                </c:pt>
                <c:pt idx="5">
                  <c:v>2012-02</c:v>
                </c:pt>
                <c:pt idx="6">
                  <c:v>2012-03</c:v>
                </c:pt>
                <c:pt idx="7">
                  <c:v>2012-04</c:v>
                </c:pt>
                <c:pt idx="8">
                  <c:v>2012-06</c:v>
                </c:pt>
                <c:pt idx="9">
                  <c:v>2012-07</c:v>
                </c:pt>
                <c:pt idx="10">
                  <c:v>2012-08</c:v>
                </c:pt>
                <c:pt idx="11">
                  <c:v>2012-09</c:v>
                </c:pt>
                <c:pt idx="12">
                  <c:v>2012-10</c:v>
                </c:pt>
                <c:pt idx="13">
                  <c:v>2012-11</c:v>
                </c:pt>
                <c:pt idx="14">
                  <c:v>2012-12</c:v>
                </c:pt>
                <c:pt idx="15">
                  <c:v>2013-01</c:v>
                </c:pt>
                <c:pt idx="16">
                  <c:v>2013-02</c:v>
                </c:pt>
                <c:pt idx="17">
                  <c:v>2013-03</c:v>
                </c:pt>
                <c:pt idx="18">
                  <c:v>2013-04</c:v>
                </c:pt>
                <c:pt idx="19">
                  <c:v>2013-05</c:v>
                </c:pt>
                <c:pt idx="20">
                  <c:v>2013-06</c:v>
                </c:pt>
                <c:pt idx="21">
                  <c:v>2013-07</c:v>
                </c:pt>
                <c:pt idx="22">
                  <c:v>2013-08</c:v>
                </c:pt>
                <c:pt idx="23">
                  <c:v>2013-09</c:v>
                </c:pt>
              </c:strCache>
            </c:strRef>
          </c:cat>
          <c:val>
            <c:numRef>
              <c:f>organic!$B$65:$Y$65</c:f>
              <c:numCache>
                <c:formatCode>#,##0</c:formatCode>
                <c:ptCount val="24"/>
                <c:pt idx="0">
                  <c:v>36371.899265270185</c:v>
                </c:pt>
                <c:pt idx="1">
                  <c:v>42174.597653197518</c:v>
                </c:pt>
                <c:pt idx="2">
                  <c:v>56795.45913710304</c:v>
                </c:pt>
                <c:pt idx="3">
                  <c:v>31764.742724966694</c:v>
                </c:pt>
                <c:pt idx="4">
                  <c:v>42223.129782658245</c:v>
                </c:pt>
                <c:pt idx="5">
                  <c:v>40833.273183534358</c:v>
                </c:pt>
                <c:pt idx="6">
                  <c:v>39083.104402019424</c:v>
                </c:pt>
                <c:pt idx="7">
                  <c:v>40850.38633385572</c:v>
                </c:pt>
                <c:pt idx="8">
                  <c:v>36947.419737551892</c:v>
                </c:pt>
                <c:pt idx="9">
                  <c:v>32674.710874757919</c:v>
                </c:pt>
                <c:pt idx="10">
                  <c:v>37827.508540433249</c:v>
                </c:pt>
                <c:pt idx="11">
                  <c:v>39970.002038334176</c:v>
                </c:pt>
                <c:pt idx="12">
                  <c:v>44510.914360256436</c:v>
                </c:pt>
                <c:pt idx="13">
                  <c:v>35818.886019608632</c:v>
                </c:pt>
                <c:pt idx="14">
                  <c:v>38119.343199676805</c:v>
                </c:pt>
                <c:pt idx="15">
                  <c:v>37794.843836497777</c:v>
                </c:pt>
                <c:pt idx="16">
                  <c:v>36158.346276363045</c:v>
                </c:pt>
                <c:pt idx="17">
                  <c:v>23502.837087973061</c:v>
                </c:pt>
                <c:pt idx="18">
                  <c:v>28331.392652258281</c:v>
                </c:pt>
                <c:pt idx="19">
                  <c:v>32075.194875703433</c:v>
                </c:pt>
                <c:pt idx="20">
                  <c:v>19551.392041956769</c:v>
                </c:pt>
                <c:pt idx="21">
                  <c:v>29031.38158930614</c:v>
                </c:pt>
                <c:pt idx="22">
                  <c:v>32549.001683172672</c:v>
                </c:pt>
                <c:pt idx="23">
                  <c:v>29616.422423864828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organic!$A$70</c:f>
              <c:strCache>
                <c:ptCount val="1"/>
                <c:pt idx="0">
                  <c:v>google - Návštěvy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organic!$B$59:$Y$59</c:f>
              <c:strCache>
                <c:ptCount val="24"/>
                <c:pt idx="0">
                  <c:v>2011-09</c:v>
                </c:pt>
                <c:pt idx="1">
                  <c:v>2011-10</c:v>
                </c:pt>
                <c:pt idx="2">
                  <c:v>2011-11</c:v>
                </c:pt>
                <c:pt idx="3">
                  <c:v>2011-12</c:v>
                </c:pt>
                <c:pt idx="4">
                  <c:v>2012-01</c:v>
                </c:pt>
                <c:pt idx="5">
                  <c:v>2012-02</c:v>
                </c:pt>
                <c:pt idx="6">
                  <c:v>2012-03</c:v>
                </c:pt>
                <c:pt idx="7">
                  <c:v>2012-04</c:v>
                </c:pt>
                <c:pt idx="8">
                  <c:v>2012-06</c:v>
                </c:pt>
                <c:pt idx="9">
                  <c:v>2012-07</c:v>
                </c:pt>
                <c:pt idx="10">
                  <c:v>2012-08</c:v>
                </c:pt>
                <c:pt idx="11">
                  <c:v>2012-09</c:v>
                </c:pt>
                <c:pt idx="12">
                  <c:v>2012-10</c:v>
                </c:pt>
                <c:pt idx="13">
                  <c:v>2012-11</c:v>
                </c:pt>
                <c:pt idx="14">
                  <c:v>2012-12</c:v>
                </c:pt>
                <c:pt idx="15">
                  <c:v>2013-01</c:v>
                </c:pt>
                <c:pt idx="16">
                  <c:v>2013-02</c:v>
                </c:pt>
                <c:pt idx="17">
                  <c:v>2013-03</c:v>
                </c:pt>
                <c:pt idx="18">
                  <c:v>2013-04</c:v>
                </c:pt>
                <c:pt idx="19">
                  <c:v>2013-05</c:v>
                </c:pt>
                <c:pt idx="20">
                  <c:v>2013-06</c:v>
                </c:pt>
                <c:pt idx="21">
                  <c:v>2013-07</c:v>
                </c:pt>
                <c:pt idx="22">
                  <c:v>2013-08</c:v>
                </c:pt>
                <c:pt idx="23">
                  <c:v>2013-09</c:v>
                </c:pt>
              </c:strCache>
            </c:strRef>
          </c:cat>
          <c:val>
            <c:numRef>
              <c:f>organic!$B$70:$Y$70</c:f>
              <c:numCache>
                <c:formatCode>#,##0</c:formatCode>
                <c:ptCount val="24"/>
                <c:pt idx="0">
                  <c:v>44929.727676830684</c:v>
                </c:pt>
                <c:pt idx="1">
                  <c:v>53731.594009325476</c:v>
                </c:pt>
                <c:pt idx="2">
                  <c:v>37736.650128586145</c:v>
                </c:pt>
                <c:pt idx="3">
                  <c:v>36385.597457245036</c:v>
                </c:pt>
                <c:pt idx="4">
                  <c:v>47527.826231162449</c:v>
                </c:pt>
                <c:pt idx="5">
                  <c:v>57216.33014911873</c:v>
                </c:pt>
                <c:pt idx="6">
                  <c:v>46821.878413063489</c:v>
                </c:pt>
                <c:pt idx="7">
                  <c:v>35725.37721434555</c:v>
                </c:pt>
                <c:pt idx="8">
                  <c:v>56496.57693635075</c:v>
                </c:pt>
                <c:pt idx="9">
                  <c:v>47856.471314904964</c:v>
                </c:pt>
                <c:pt idx="10">
                  <c:v>35079.689346529944</c:v>
                </c:pt>
                <c:pt idx="11">
                  <c:v>54597.570553932397</c:v>
                </c:pt>
                <c:pt idx="12">
                  <c:v>60224.043145257725</c:v>
                </c:pt>
                <c:pt idx="13">
                  <c:v>46812.041393181506</c:v>
                </c:pt>
                <c:pt idx="14">
                  <c:v>60447.00571151152</c:v>
                </c:pt>
                <c:pt idx="15">
                  <c:v>40752.260423004933</c:v>
                </c:pt>
                <c:pt idx="16">
                  <c:v>43034.443837203893</c:v>
                </c:pt>
                <c:pt idx="17">
                  <c:v>36681.91146149463</c:v>
                </c:pt>
                <c:pt idx="18">
                  <c:v>49514.863535617347</c:v>
                </c:pt>
                <c:pt idx="19">
                  <c:v>37239.28164198366</c:v>
                </c:pt>
                <c:pt idx="20">
                  <c:v>37089.626020999334</c:v>
                </c:pt>
                <c:pt idx="21">
                  <c:v>37986.100247506627</c:v>
                </c:pt>
                <c:pt idx="22">
                  <c:v>55655.555731890832</c:v>
                </c:pt>
                <c:pt idx="23">
                  <c:v>45050.98840645561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organic!$A$75</c:f>
              <c:strCache>
                <c:ptCount val="1"/>
                <c:pt idx="0">
                  <c:v>ostatní org - Návštěvy</c:v>
                </c:pt>
              </c:strCache>
            </c:strRef>
          </c:tx>
          <c:marker>
            <c:symbol val="none"/>
          </c:marker>
          <c:cat>
            <c:strRef>
              <c:f>organic!$B$59:$Y$59</c:f>
              <c:strCache>
                <c:ptCount val="24"/>
                <c:pt idx="0">
                  <c:v>2011-09</c:v>
                </c:pt>
                <c:pt idx="1">
                  <c:v>2011-10</c:v>
                </c:pt>
                <c:pt idx="2">
                  <c:v>2011-11</c:v>
                </c:pt>
                <c:pt idx="3">
                  <c:v>2011-12</c:v>
                </c:pt>
                <c:pt idx="4">
                  <c:v>2012-01</c:v>
                </c:pt>
                <c:pt idx="5">
                  <c:v>2012-02</c:v>
                </c:pt>
                <c:pt idx="6">
                  <c:v>2012-03</c:v>
                </c:pt>
                <c:pt idx="7">
                  <c:v>2012-04</c:v>
                </c:pt>
                <c:pt idx="8">
                  <c:v>2012-06</c:v>
                </c:pt>
                <c:pt idx="9">
                  <c:v>2012-07</c:v>
                </c:pt>
                <c:pt idx="10">
                  <c:v>2012-08</c:v>
                </c:pt>
                <c:pt idx="11">
                  <c:v>2012-09</c:v>
                </c:pt>
                <c:pt idx="12">
                  <c:v>2012-10</c:v>
                </c:pt>
                <c:pt idx="13">
                  <c:v>2012-11</c:v>
                </c:pt>
                <c:pt idx="14">
                  <c:v>2012-12</c:v>
                </c:pt>
                <c:pt idx="15">
                  <c:v>2013-01</c:v>
                </c:pt>
                <c:pt idx="16">
                  <c:v>2013-02</c:v>
                </c:pt>
                <c:pt idx="17">
                  <c:v>2013-03</c:v>
                </c:pt>
                <c:pt idx="18">
                  <c:v>2013-04</c:v>
                </c:pt>
                <c:pt idx="19">
                  <c:v>2013-05</c:v>
                </c:pt>
                <c:pt idx="20">
                  <c:v>2013-06</c:v>
                </c:pt>
                <c:pt idx="21">
                  <c:v>2013-07</c:v>
                </c:pt>
                <c:pt idx="22">
                  <c:v>2013-08</c:v>
                </c:pt>
                <c:pt idx="23">
                  <c:v>2013-09</c:v>
                </c:pt>
              </c:strCache>
            </c:strRef>
          </c:cat>
          <c:val>
            <c:numRef>
              <c:f>organic!$B$75:$Y$75</c:f>
              <c:numCache>
                <c:formatCode>#,##0</c:formatCode>
                <c:ptCount val="24"/>
                <c:pt idx="0">
                  <c:v>1277.859439869821</c:v>
                </c:pt>
                <c:pt idx="1">
                  <c:v>1636.0670643229801</c:v>
                </c:pt>
                <c:pt idx="2">
                  <c:v>2264.6572402812662</c:v>
                </c:pt>
                <c:pt idx="3">
                  <c:v>3024.2197815202962</c:v>
                </c:pt>
                <c:pt idx="4">
                  <c:v>2149.9960881273064</c:v>
                </c:pt>
                <c:pt idx="5">
                  <c:v>2390.4547608717576</c:v>
                </c:pt>
                <c:pt idx="6">
                  <c:v>2727.7106811640579</c:v>
                </c:pt>
                <c:pt idx="7">
                  <c:v>2240.7117886272258</c:v>
                </c:pt>
                <c:pt idx="8">
                  <c:v>1701.4426993930201</c:v>
                </c:pt>
                <c:pt idx="9">
                  <c:v>2002.6802640083254</c:v>
                </c:pt>
                <c:pt idx="10">
                  <c:v>1555.1862613299902</c:v>
                </c:pt>
                <c:pt idx="11">
                  <c:v>1727.3325592865115</c:v>
                </c:pt>
                <c:pt idx="12">
                  <c:v>2015.2585546346847</c:v>
                </c:pt>
                <c:pt idx="13">
                  <c:v>3323.8684910024585</c:v>
                </c:pt>
                <c:pt idx="14">
                  <c:v>2333.2055921970532</c:v>
                </c:pt>
                <c:pt idx="15">
                  <c:v>8837.5846246275196</c:v>
                </c:pt>
                <c:pt idx="16">
                  <c:v>1735.7666720287375</c:v>
                </c:pt>
                <c:pt idx="17">
                  <c:v>3135.4848792085845</c:v>
                </c:pt>
                <c:pt idx="18">
                  <c:v>2241.9675534270568</c:v>
                </c:pt>
                <c:pt idx="19">
                  <c:v>2385.8644384647205</c:v>
                </c:pt>
                <c:pt idx="20">
                  <c:v>1359.8594965735274</c:v>
                </c:pt>
                <c:pt idx="21">
                  <c:v>1208.7293612630483</c:v>
                </c:pt>
                <c:pt idx="22">
                  <c:v>1744.8137298595207</c:v>
                </c:pt>
                <c:pt idx="23">
                  <c:v>1980.1773967530999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577152"/>
        <c:axId val="142767168"/>
      </c:lineChart>
      <c:catAx>
        <c:axId val="142577152"/>
        <c:scaling>
          <c:orientation val="minMax"/>
        </c:scaling>
        <c:delete val="0"/>
        <c:axPos val="b"/>
        <c:majorTickMark val="none"/>
        <c:minorTickMark val="none"/>
        <c:tickLblPos val="nextTo"/>
        <c:crossAx val="142767168"/>
        <c:crosses val="autoZero"/>
        <c:auto val="1"/>
        <c:lblAlgn val="ctr"/>
        <c:lblOffset val="100"/>
        <c:noMultiLvlLbl val="0"/>
      </c:catAx>
      <c:valAx>
        <c:axId val="14276716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4257715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Obrat organic - seznam vs. google vs. ost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organic!$A$67</c:f>
              <c:strCache>
                <c:ptCount val="1"/>
                <c:pt idx="0">
                  <c:v>seznam - Obrat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organic!$B$59:$Y$59</c:f>
              <c:strCache>
                <c:ptCount val="24"/>
                <c:pt idx="0">
                  <c:v>2011-09</c:v>
                </c:pt>
                <c:pt idx="1">
                  <c:v>2011-10</c:v>
                </c:pt>
                <c:pt idx="2">
                  <c:v>2011-11</c:v>
                </c:pt>
                <c:pt idx="3">
                  <c:v>2011-12</c:v>
                </c:pt>
                <c:pt idx="4">
                  <c:v>2012-01</c:v>
                </c:pt>
                <c:pt idx="5">
                  <c:v>2012-02</c:v>
                </c:pt>
                <c:pt idx="6">
                  <c:v>2012-03</c:v>
                </c:pt>
                <c:pt idx="7">
                  <c:v>2012-04</c:v>
                </c:pt>
                <c:pt idx="8">
                  <c:v>2012-06</c:v>
                </c:pt>
                <c:pt idx="9">
                  <c:v>2012-07</c:v>
                </c:pt>
                <c:pt idx="10">
                  <c:v>2012-08</c:v>
                </c:pt>
                <c:pt idx="11">
                  <c:v>2012-09</c:v>
                </c:pt>
                <c:pt idx="12">
                  <c:v>2012-10</c:v>
                </c:pt>
                <c:pt idx="13">
                  <c:v>2012-11</c:v>
                </c:pt>
                <c:pt idx="14">
                  <c:v>2012-12</c:v>
                </c:pt>
                <c:pt idx="15">
                  <c:v>2013-01</c:v>
                </c:pt>
                <c:pt idx="16">
                  <c:v>2013-02</c:v>
                </c:pt>
                <c:pt idx="17">
                  <c:v>2013-03</c:v>
                </c:pt>
                <c:pt idx="18">
                  <c:v>2013-04</c:v>
                </c:pt>
                <c:pt idx="19">
                  <c:v>2013-05</c:v>
                </c:pt>
                <c:pt idx="20">
                  <c:v>2013-06</c:v>
                </c:pt>
                <c:pt idx="21">
                  <c:v>2013-07</c:v>
                </c:pt>
                <c:pt idx="22">
                  <c:v>2013-08</c:v>
                </c:pt>
                <c:pt idx="23">
                  <c:v>2013-09</c:v>
                </c:pt>
              </c:strCache>
            </c:strRef>
          </c:cat>
          <c:val>
            <c:numRef>
              <c:f>organic!$B$67:$Y$67</c:f>
              <c:numCache>
                <c:formatCode>#,##0\ "Kč"</c:formatCode>
                <c:ptCount val="24"/>
                <c:pt idx="0">
                  <c:v>571130.69065419049</c:v>
                </c:pt>
                <c:pt idx="1">
                  <c:v>898686.31734889711</c:v>
                </c:pt>
                <c:pt idx="2">
                  <c:v>881114.27476319484</c:v>
                </c:pt>
                <c:pt idx="3">
                  <c:v>579597.41992592893</c:v>
                </c:pt>
                <c:pt idx="4">
                  <c:v>587205.35424004123</c:v>
                </c:pt>
                <c:pt idx="5">
                  <c:v>609886.78906661074</c:v>
                </c:pt>
                <c:pt idx="6">
                  <c:v>592513.68476084224</c:v>
                </c:pt>
                <c:pt idx="7">
                  <c:v>400427.06250086694</c:v>
                </c:pt>
                <c:pt idx="8">
                  <c:v>534996.10740287381</c:v>
                </c:pt>
                <c:pt idx="9">
                  <c:v>622966.23709322442</c:v>
                </c:pt>
                <c:pt idx="10">
                  <c:v>722351.81904963462</c:v>
                </c:pt>
                <c:pt idx="11">
                  <c:v>674108.38589499635</c:v>
                </c:pt>
                <c:pt idx="12">
                  <c:v>551582.30315182277</c:v>
                </c:pt>
                <c:pt idx="13">
                  <c:v>1032652.1276806027</c:v>
                </c:pt>
                <c:pt idx="14">
                  <c:v>814154.25233620009</c:v>
                </c:pt>
                <c:pt idx="15">
                  <c:v>647006.60661338468</c:v>
                </c:pt>
                <c:pt idx="16">
                  <c:v>782116.96797166998</c:v>
                </c:pt>
                <c:pt idx="17">
                  <c:v>690735.03749814595</c:v>
                </c:pt>
                <c:pt idx="18">
                  <c:v>743074.31636398879</c:v>
                </c:pt>
                <c:pt idx="19">
                  <c:v>521495.64975364169</c:v>
                </c:pt>
                <c:pt idx="20">
                  <c:v>574593.35968778038</c:v>
                </c:pt>
                <c:pt idx="21">
                  <c:v>935273.65733336122</c:v>
                </c:pt>
                <c:pt idx="22">
                  <c:v>801157.47897449206</c:v>
                </c:pt>
                <c:pt idx="23">
                  <c:v>708702.74003210186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organic!$A$72</c:f>
              <c:strCache>
                <c:ptCount val="1"/>
                <c:pt idx="0">
                  <c:v>google - Obrat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organic!$B$59:$Y$59</c:f>
              <c:strCache>
                <c:ptCount val="24"/>
                <c:pt idx="0">
                  <c:v>2011-09</c:v>
                </c:pt>
                <c:pt idx="1">
                  <c:v>2011-10</c:v>
                </c:pt>
                <c:pt idx="2">
                  <c:v>2011-11</c:v>
                </c:pt>
                <c:pt idx="3">
                  <c:v>2011-12</c:v>
                </c:pt>
                <c:pt idx="4">
                  <c:v>2012-01</c:v>
                </c:pt>
                <c:pt idx="5">
                  <c:v>2012-02</c:v>
                </c:pt>
                <c:pt idx="6">
                  <c:v>2012-03</c:v>
                </c:pt>
                <c:pt idx="7">
                  <c:v>2012-04</c:v>
                </c:pt>
                <c:pt idx="8">
                  <c:v>2012-06</c:v>
                </c:pt>
                <c:pt idx="9">
                  <c:v>2012-07</c:v>
                </c:pt>
                <c:pt idx="10">
                  <c:v>2012-08</c:v>
                </c:pt>
                <c:pt idx="11">
                  <c:v>2012-09</c:v>
                </c:pt>
                <c:pt idx="12">
                  <c:v>2012-10</c:v>
                </c:pt>
                <c:pt idx="13">
                  <c:v>2012-11</c:v>
                </c:pt>
                <c:pt idx="14">
                  <c:v>2012-12</c:v>
                </c:pt>
                <c:pt idx="15">
                  <c:v>2013-01</c:v>
                </c:pt>
                <c:pt idx="16">
                  <c:v>2013-02</c:v>
                </c:pt>
                <c:pt idx="17">
                  <c:v>2013-03</c:v>
                </c:pt>
                <c:pt idx="18">
                  <c:v>2013-04</c:v>
                </c:pt>
                <c:pt idx="19">
                  <c:v>2013-05</c:v>
                </c:pt>
                <c:pt idx="20">
                  <c:v>2013-06</c:v>
                </c:pt>
                <c:pt idx="21">
                  <c:v>2013-07</c:v>
                </c:pt>
                <c:pt idx="22">
                  <c:v>2013-08</c:v>
                </c:pt>
                <c:pt idx="23">
                  <c:v>2013-09</c:v>
                </c:pt>
              </c:strCache>
            </c:strRef>
          </c:cat>
          <c:val>
            <c:numRef>
              <c:f>organic!$B$72:$Y$72</c:f>
              <c:numCache>
                <c:formatCode>#,##0\ "Kč"</c:formatCode>
                <c:ptCount val="24"/>
                <c:pt idx="0">
                  <c:v>671565.19513248082</c:v>
                </c:pt>
                <c:pt idx="1">
                  <c:v>717117.85559666343</c:v>
                </c:pt>
                <c:pt idx="2">
                  <c:v>1186835.3194746119</c:v>
                </c:pt>
                <c:pt idx="3">
                  <c:v>1386671.4740895175</c:v>
                </c:pt>
                <c:pt idx="4">
                  <c:v>1251955.3734767933</c:v>
                </c:pt>
                <c:pt idx="5">
                  <c:v>1224576.752410532</c:v>
                </c:pt>
                <c:pt idx="6">
                  <c:v>1232284.2289956678</c:v>
                </c:pt>
                <c:pt idx="7">
                  <c:v>801168.57841673889</c:v>
                </c:pt>
                <c:pt idx="8">
                  <c:v>996755.06267069408</c:v>
                </c:pt>
                <c:pt idx="9">
                  <c:v>1166128.609424598</c:v>
                </c:pt>
                <c:pt idx="10">
                  <c:v>1139051.9295324751</c:v>
                </c:pt>
                <c:pt idx="11">
                  <c:v>944318.03051449556</c:v>
                </c:pt>
                <c:pt idx="12">
                  <c:v>851359.67868710554</c:v>
                </c:pt>
                <c:pt idx="13">
                  <c:v>1058167.8065360028</c:v>
                </c:pt>
                <c:pt idx="14">
                  <c:v>1658971.5421089423</c:v>
                </c:pt>
                <c:pt idx="15">
                  <c:v>1101045.5432050286</c:v>
                </c:pt>
                <c:pt idx="16">
                  <c:v>638082.39485371462</c:v>
                </c:pt>
                <c:pt idx="17">
                  <c:v>1387209.1971079265</c:v>
                </c:pt>
                <c:pt idx="18">
                  <c:v>805102.9706185949</c:v>
                </c:pt>
                <c:pt idx="19">
                  <c:v>792843.2070570325</c:v>
                </c:pt>
                <c:pt idx="20">
                  <c:v>671056.77542727289</c:v>
                </c:pt>
                <c:pt idx="21">
                  <c:v>1551806.0099342768</c:v>
                </c:pt>
                <c:pt idx="22">
                  <c:v>1680993.9220371477</c:v>
                </c:pt>
                <c:pt idx="23">
                  <c:v>1162290.6163499961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organic!$A$77</c:f>
              <c:strCache>
                <c:ptCount val="1"/>
                <c:pt idx="0">
                  <c:v>ostatní org - Obrat</c:v>
                </c:pt>
              </c:strCache>
            </c:strRef>
          </c:tx>
          <c:marker>
            <c:symbol val="none"/>
          </c:marker>
          <c:cat>
            <c:strRef>
              <c:f>organic!$B$59:$Y$59</c:f>
              <c:strCache>
                <c:ptCount val="24"/>
                <c:pt idx="0">
                  <c:v>2011-09</c:v>
                </c:pt>
                <c:pt idx="1">
                  <c:v>2011-10</c:v>
                </c:pt>
                <c:pt idx="2">
                  <c:v>2011-11</c:v>
                </c:pt>
                <c:pt idx="3">
                  <c:v>2011-12</c:v>
                </c:pt>
                <c:pt idx="4">
                  <c:v>2012-01</c:v>
                </c:pt>
                <c:pt idx="5">
                  <c:v>2012-02</c:v>
                </c:pt>
                <c:pt idx="6">
                  <c:v>2012-03</c:v>
                </c:pt>
                <c:pt idx="7">
                  <c:v>2012-04</c:v>
                </c:pt>
                <c:pt idx="8">
                  <c:v>2012-06</c:v>
                </c:pt>
                <c:pt idx="9">
                  <c:v>2012-07</c:v>
                </c:pt>
                <c:pt idx="10">
                  <c:v>2012-08</c:v>
                </c:pt>
                <c:pt idx="11">
                  <c:v>2012-09</c:v>
                </c:pt>
                <c:pt idx="12">
                  <c:v>2012-10</c:v>
                </c:pt>
                <c:pt idx="13">
                  <c:v>2012-11</c:v>
                </c:pt>
                <c:pt idx="14">
                  <c:v>2012-12</c:v>
                </c:pt>
                <c:pt idx="15">
                  <c:v>2013-01</c:v>
                </c:pt>
                <c:pt idx="16">
                  <c:v>2013-02</c:v>
                </c:pt>
                <c:pt idx="17">
                  <c:v>2013-03</c:v>
                </c:pt>
                <c:pt idx="18">
                  <c:v>2013-04</c:v>
                </c:pt>
                <c:pt idx="19">
                  <c:v>2013-05</c:v>
                </c:pt>
                <c:pt idx="20">
                  <c:v>2013-06</c:v>
                </c:pt>
                <c:pt idx="21">
                  <c:v>2013-07</c:v>
                </c:pt>
                <c:pt idx="22">
                  <c:v>2013-08</c:v>
                </c:pt>
                <c:pt idx="23">
                  <c:v>2013-09</c:v>
                </c:pt>
              </c:strCache>
            </c:strRef>
          </c:cat>
          <c:val>
            <c:numRef>
              <c:f>organic!$B$77:$Y$77</c:f>
              <c:numCache>
                <c:formatCode>#,##0\ "Kč"</c:formatCode>
                <c:ptCount val="24"/>
                <c:pt idx="0">
                  <c:v>52960.699347922869</c:v>
                </c:pt>
                <c:pt idx="1">
                  <c:v>59613.587865115784</c:v>
                </c:pt>
                <c:pt idx="2">
                  <c:v>74153.066646343621</c:v>
                </c:pt>
                <c:pt idx="3">
                  <c:v>35234.428719940028</c:v>
                </c:pt>
                <c:pt idx="4">
                  <c:v>26256.449221526236</c:v>
                </c:pt>
                <c:pt idx="5">
                  <c:v>60664.255412039136</c:v>
                </c:pt>
                <c:pt idx="6">
                  <c:v>44893.177657405962</c:v>
                </c:pt>
                <c:pt idx="7">
                  <c:v>28219.817276044265</c:v>
                </c:pt>
                <c:pt idx="8">
                  <c:v>35606.994859858256</c:v>
                </c:pt>
                <c:pt idx="9">
                  <c:v>47710.569740842613</c:v>
                </c:pt>
                <c:pt idx="10">
                  <c:v>48029.885676796373</c:v>
                </c:pt>
                <c:pt idx="11">
                  <c:v>17580.826293965991</c:v>
                </c:pt>
                <c:pt idx="12">
                  <c:v>77926.860575588638</c:v>
                </c:pt>
                <c:pt idx="13">
                  <c:v>42908.079807023278</c:v>
                </c:pt>
                <c:pt idx="14">
                  <c:v>58220.529898636167</c:v>
                </c:pt>
                <c:pt idx="15">
                  <c:v>318835.24052306777</c:v>
                </c:pt>
                <c:pt idx="16">
                  <c:v>64095.600957130831</c:v>
                </c:pt>
                <c:pt idx="17">
                  <c:v>62143.406855233829</c:v>
                </c:pt>
                <c:pt idx="18">
                  <c:v>60384.98924019721</c:v>
                </c:pt>
                <c:pt idx="19">
                  <c:v>81714.865743052549</c:v>
                </c:pt>
                <c:pt idx="20">
                  <c:v>56187.965450271084</c:v>
                </c:pt>
                <c:pt idx="21">
                  <c:v>43020.615819593084</c:v>
                </c:pt>
                <c:pt idx="22">
                  <c:v>58051.302764084227</c:v>
                </c:pt>
                <c:pt idx="23">
                  <c:v>30470.876243260107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643200"/>
        <c:axId val="142769472"/>
      </c:lineChart>
      <c:catAx>
        <c:axId val="142643200"/>
        <c:scaling>
          <c:orientation val="minMax"/>
        </c:scaling>
        <c:delete val="0"/>
        <c:axPos val="b"/>
        <c:majorTickMark val="none"/>
        <c:minorTickMark val="none"/>
        <c:tickLblPos val="nextTo"/>
        <c:crossAx val="142769472"/>
        <c:crosses val="autoZero"/>
        <c:auto val="1"/>
        <c:lblAlgn val="ctr"/>
        <c:lblOffset val="100"/>
        <c:noMultiLvlLbl val="0"/>
      </c:catAx>
      <c:valAx>
        <c:axId val="142769472"/>
        <c:scaling>
          <c:orientation val="minMax"/>
        </c:scaling>
        <c:delete val="0"/>
        <c:axPos val="l"/>
        <c:majorGridlines/>
        <c:numFmt formatCode="#,##0\ &quot;Kč&quot;" sourceLinked="1"/>
        <c:majorTickMark val="none"/>
        <c:minorTickMark val="none"/>
        <c:tickLblPos val="nextTo"/>
        <c:spPr>
          <a:ln w="9525">
            <a:noFill/>
          </a:ln>
        </c:spPr>
        <c:crossAx val="14264320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Konverzní poměr organic - seznam vs. google vs. ost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organic!$A$63</c:f>
              <c:strCache>
                <c:ptCount val="1"/>
                <c:pt idx="0">
                  <c:v>organic - KP</c:v>
                </c:pt>
              </c:strCache>
            </c:strRef>
          </c:tx>
          <c:marker>
            <c:symbol val="none"/>
          </c:marker>
          <c:cat>
            <c:strRef>
              <c:f>organic!$B$59:$Y$59</c:f>
              <c:strCache>
                <c:ptCount val="24"/>
                <c:pt idx="0">
                  <c:v>2011-09</c:v>
                </c:pt>
                <c:pt idx="1">
                  <c:v>2011-10</c:v>
                </c:pt>
                <c:pt idx="2">
                  <c:v>2011-11</c:v>
                </c:pt>
                <c:pt idx="3">
                  <c:v>2011-12</c:v>
                </c:pt>
                <c:pt idx="4">
                  <c:v>2012-01</c:v>
                </c:pt>
                <c:pt idx="5">
                  <c:v>2012-02</c:v>
                </c:pt>
                <c:pt idx="6">
                  <c:v>2012-03</c:v>
                </c:pt>
                <c:pt idx="7">
                  <c:v>2012-04</c:v>
                </c:pt>
                <c:pt idx="8">
                  <c:v>2012-06</c:v>
                </c:pt>
                <c:pt idx="9">
                  <c:v>2012-07</c:v>
                </c:pt>
                <c:pt idx="10">
                  <c:v>2012-08</c:v>
                </c:pt>
                <c:pt idx="11">
                  <c:v>2012-09</c:v>
                </c:pt>
                <c:pt idx="12">
                  <c:v>2012-10</c:v>
                </c:pt>
                <c:pt idx="13">
                  <c:v>2012-11</c:v>
                </c:pt>
                <c:pt idx="14">
                  <c:v>2012-12</c:v>
                </c:pt>
                <c:pt idx="15">
                  <c:v>2013-01</c:v>
                </c:pt>
                <c:pt idx="16">
                  <c:v>2013-02</c:v>
                </c:pt>
                <c:pt idx="17">
                  <c:v>2013-03</c:v>
                </c:pt>
                <c:pt idx="18">
                  <c:v>2013-04</c:v>
                </c:pt>
                <c:pt idx="19">
                  <c:v>2013-05</c:v>
                </c:pt>
                <c:pt idx="20">
                  <c:v>2013-06</c:v>
                </c:pt>
                <c:pt idx="21">
                  <c:v>2013-07</c:v>
                </c:pt>
                <c:pt idx="22">
                  <c:v>2013-08</c:v>
                </c:pt>
                <c:pt idx="23">
                  <c:v>2013-09</c:v>
                </c:pt>
              </c:strCache>
            </c:strRef>
          </c:cat>
          <c:val>
            <c:numRef>
              <c:f>organic!$B$63:$Y$63</c:f>
              <c:numCache>
                <c:formatCode>0.00%</c:formatCode>
                <c:ptCount val="24"/>
                <c:pt idx="0">
                  <c:v>1.3426304381102526E-2</c:v>
                </c:pt>
                <c:pt idx="1">
                  <c:v>1.1439916074664472E-2</c:v>
                </c:pt>
                <c:pt idx="2">
                  <c:v>3.0645036787049787E-2</c:v>
                </c:pt>
                <c:pt idx="3">
                  <c:v>2.2041954748704538E-2</c:v>
                </c:pt>
                <c:pt idx="4">
                  <c:v>1.8115153451974678E-2</c:v>
                </c:pt>
                <c:pt idx="5">
                  <c:v>1.1346549653021908E-2</c:v>
                </c:pt>
                <c:pt idx="6">
                  <c:v>1.6304654544788934E-2</c:v>
                </c:pt>
                <c:pt idx="7">
                  <c:v>8.3484525305843622E-3</c:v>
                </c:pt>
                <c:pt idx="8">
                  <c:v>1.7523879019714056E-2</c:v>
                </c:pt>
                <c:pt idx="9">
                  <c:v>1.0445905317356825E-2</c:v>
                </c:pt>
                <c:pt idx="10">
                  <c:v>2.5528559782195714E-2</c:v>
                </c:pt>
                <c:pt idx="11">
                  <c:v>1.3901476932044588E-2</c:v>
                </c:pt>
                <c:pt idx="12">
                  <c:v>1.2534345428844369E-2</c:v>
                </c:pt>
                <c:pt idx="13">
                  <c:v>1.3840860354089742E-2</c:v>
                </c:pt>
                <c:pt idx="14">
                  <c:v>1.4801374605444135E-2</c:v>
                </c:pt>
                <c:pt idx="15">
                  <c:v>1.1252752854152474E-2</c:v>
                </c:pt>
                <c:pt idx="16">
                  <c:v>9.9013887437394005E-3</c:v>
                </c:pt>
                <c:pt idx="17">
                  <c:v>1.7773820388710719E-2</c:v>
                </c:pt>
                <c:pt idx="18">
                  <c:v>2.6636056018119646E-2</c:v>
                </c:pt>
                <c:pt idx="19">
                  <c:v>1.0614524433639121E-2</c:v>
                </c:pt>
                <c:pt idx="20">
                  <c:v>1.5617243266511554E-2</c:v>
                </c:pt>
                <c:pt idx="21">
                  <c:v>2.722420566502155E-2</c:v>
                </c:pt>
                <c:pt idx="22">
                  <c:v>1.5542952136608137E-2</c:v>
                </c:pt>
                <c:pt idx="23">
                  <c:v>1.7422749141242321E-2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organic!$A$73</c:f>
              <c:strCache>
                <c:ptCount val="1"/>
                <c:pt idx="0">
                  <c:v>google - KP</c:v>
                </c:pt>
              </c:strCache>
            </c:strRef>
          </c:tx>
          <c:marker>
            <c:symbol val="none"/>
          </c:marker>
          <c:cat>
            <c:strRef>
              <c:f>organic!$B$59:$Y$59</c:f>
              <c:strCache>
                <c:ptCount val="24"/>
                <c:pt idx="0">
                  <c:v>2011-09</c:v>
                </c:pt>
                <c:pt idx="1">
                  <c:v>2011-10</c:v>
                </c:pt>
                <c:pt idx="2">
                  <c:v>2011-11</c:v>
                </c:pt>
                <c:pt idx="3">
                  <c:v>2011-12</c:v>
                </c:pt>
                <c:pt idx="4">
                  <c:v>2012-01</c:v>
                </c:pt>
                <c:pt idx="5">
                  <c:v>2012-02</c:v>
                </c:pt>
                <c:pt idx="6">
                  <c:v>2012-03</c:v>
                </c:pt>
                <c:pt idx="7">
                  <c:v>2012-04</c:v>
                </c:pt>
                <c:pt idx="8">
                  <c:v>2012-06</c:v>
                </c:pt>
                <c:pt idx="9">
                  <c:v>2012-07</c:v>
                </c:pt>
                <c:pt idx="10">
                  <c:v>2012-08</c:v>
                </c:pt>
                <c:pt idx="11">
                  <c:v>2012-09</c:v>
                </c:pt>
                <c:pt idx="12">
                  <c:v>2012-10</c:v>
                </c:pt>
                <c:pt idx="13">
                  <c:v>2012-11</c:v>
                </c:pt>
                <c:pt idx="14">
                  <c:v>2012-12</c:v>
                </c:pt>
                <c:pt idx="15">
                  <c:v>2013-01</c:v>
                </c:pt>
                <c:pt idx="16">
                  <c:v>2013-02</c:v>
                </c:pt>
                <c:pt idx="17">
                  <c:v>2013-03</c:v>
                </c:pt>
                <c:pt idx="18">
                  <c:v>2013-04</c:v>
                </c:pt>
                <c:pt idx="19">
                  <c:v>2013-05</c:v>
                </c:pt>
                <c:pt idx="20">
                  <c:v>2013-06</c:v>
                </c:pt>
                <c:pt idx="21">
                  <c:v>2013-07</c:v>
                </c:pt>
                <c:pt idx="22">
                  <c:v>2013-08</c:v>
                </c:pt>
                <c:pt idx="23">
                  <c:v>2013-09</c:v>
                </c:pt>
              </c:strCache>
            </c:strRef>
          </c:cat>
          <c:val>
            <c:numRef>
              <c:f>organic!$B$73:$Y$73</c:f>
              <c:numCache>
                <c:formatCode>0.00%</c:formatCode>
                <c:ptCount val="24"/>
                <c:pt idx="0">
                  <c:v>9.4217286566626451E-3</c:v>
                </c:pt>
                <c:pt idx="1">
                  <c:v>1.2716509238494369E-2</c:v>
                </c:pt>
                <c:pt idx="2">
                  <c:v>2.902020267572172E-2</c:v>
                </c:pt>
                <c:pt idx="3">
                  <c:v>2.4284632553846913E-2</c:v>
                </c:pt>
                <c:pt idx="4">
                  <c:v>1.1900388822344706E-2</c:v>
                </c:pt>
                <c:pt idx="5">
                  <c:v>1.2007730255524846E-2</c:v>
                </c:pt>
                <c:pt idx="6">
                  <c:v>1.1242908814238175E-2</c:v>
                </c:pt>
                <c:pt idx="7">
                  <c:v>2.2140079525665064E-2</c:v>
                </c:pt>
                <c:pt idx="8">
                  <c:v>9.3754313116731422E-3</c:v>
                </c:pt>
                <c:pt idx="9">
                  <c:v>1.3045079023201765E-2</c:v>
                </c:pt>
                <c:pt idx="10">
                  <c:v>1.4554076070882764E-2</c:v>
                </c:pt>
                <c:pt idx="11">
                  <c:v>8.8614820413805192E-3</c:v>
                </c:pt>
                <c:pt idx="12">
                  <c:v>1.7119854503321132E-2</c:v>
                </c:pt>
                <c:pt idx="13">
                  <c:v>2.0949486020824363E-2</c:v>
                </c:pt>
                <c:pt idx="14">
                  <c:v>2.0240168345953293E-2</c:v>
                </c:pt>
                <c:pt idx="15">
                  <c:v>2.1933800629843896E-2</c:v>
                </c:pt>
                <c:pt idx="16">
                  <c:v>1.5034097154173684E-2</c:v>
                </c:pt>
                <c:pt idx="17">
                  <c:v>1.4850783790795609E-2</c:v>
                </c:pt>
                <c:pt idx="18">
                  <c:v>1.1548338114186228E-2</c:v>
                </c:pt>
                <c:pt idx="19">
                  <c:v>2.4080333726797073E-2</c:v>
                </c:pt>
                <c:pt idx="20">
                  <c:v>1.8187155212501055E-2</c:v>
                </c:pt>
                <c:pt idx="21">
                  <c:v>2.7025680978302592E-2</c:v>
                </c:pt>
                <c:pt idx="22">
                  <c:v>1.4619498499077935E-2</c:v>
                </c:pt>
                <c:pt idx="23">
                  <c:v>1.3375789233737464E-2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organic!$A$78</c:f>
              <c:strCache>
                <c:ptCount val="1"/>
                <c:pt idx="0">
                  <c:v>ostatní org - KP</c:v>
                </c:pt>
              </c:strCache>
            </c:strRef>
          </c:tx>
          <c:marker>
            <c:symbol val="none"/>
          </c:marker>
          <c:cat>
            <c:strRef>
              <c:f>organic!$B$59:$Y$59</c:f>
              <c:strCache>
                <c:ptCount val="24"/>
                <c:pt idx="0">
                  <c:v>2011-09</c:v>
                </c:pt>
                <c:pt idx="1">
                  <c:v>2011-10</c:v>
                </c:pt>
                <c:pt idx="2">
                  <c:v>2011-11</c:v>
                </c:pt>
                <c:pt idx="3">
                  <c:v>2011-12</c:v>
                </c:pt>
                <c:pt idx="4">
                  <c:v>2012-01</c:v>
                </c:pt>
                <c:pt idx="5">
                  <c:v>2012-02</c:v>
                </c:pt>
                <c:pt idx="6">
                  <c:v>2012-03</c:v>
                </c:pt>
                <c:pt idx="7">
                  <c:v>2012-04</c:v>
                </c:pt>
                <c:pt idx="8">
                  <c:v>2012-06</c:v>
                </c:pt>
                <c:pt idx="9">
                  <c:v>2012-07</c:v>
                </c:pt>
                <c:pt idx="10">
                  <c:v>2012-08</c:v>
                </c:pt>
                <c:pt idx="11">
                  <c:v>2012-09</c:v>
                </c:pt>
                <c:pt idx="12">
                  <c:v>2012-10</c:v>
                </c:pt>
                <c:pt idx="13">
                  <c:v>2012-11</c:v>
                </c:pt>
                <c:pt idx="14">
                  <c:v>2012-12</c:v>
                </c:pt>
                <c:pt idx="15">
                  <c:v>2013-01</c:v>
                </c:pt>
                <c:pt idx="16">
                  <c:v>2013-02</c:v>
                </c:pt>
                <c:pt idx="17">
                  <c:v>2013-03</c:v>
                </c:pt>
                <c:pt idx="18">
                  <c:v>2013-04</c:v>
                </c:pt>
                <c:pt idx="19">
                  <c:v>2013-05</c:v>
                </c:pt>
                <c:pt idx="20">
                  <c:v>2013-06</c:v>
                </c:pt>
                <c:pt idx="21">
                  <c:v>2013-07</c:v>
                </c:pt>
                <c:pt idx="22">
                  <c:v>2013-08</c:v>
                </c:pt>
                <c:pt idx="23">
                  <c:v>2013-09</c:v>
                </c:pt>
              </c:strCache>
            </c:strRef>
          </c:cat>
          <c:val>
            <c:numRef>
              <c:f>organic!$B$78:$Y$78</c:f>
              <c:numCache>
                <c:formatCode>0.00%</c:formatCode>
                <c:ptCount val="24"/>
                <c:pt idx="0">
                  <c:v>2.6381548201791304E-2</c:v>
                </c:pt>
                <c:pt idx="1">
                  <c:v>1.4518787211126051E-2</c:v>
                </c:pt>
                <c:pt idx="2">
                  <c:v>1.9244127646029181E-2</c:v>
                </c:pt>
                <c:pt idx="3">
                  <c:v>2.6887034699872484E-2</c:v>
                </c:pt>
                <c:pt idx="4">
                  <c:v>1.3152484910037704E-2</c:v>
                </c:pt>
                <c:pt idx="5">
                  <c:v>1.4647856765778912E-2</c:v>
                </c:pt>
                <c:pt idx="6">
                  <c:v>8.1940150053674866E-3</c:v>
                </c:pt>
                <c:pt idx="7">
                  <c:v>6.9286199204706298E-3</c:v>
                </c:pt>
                <c:pt idx="8">
                  <c:v>9.4132363679648202E-3</c:v>
                </c:pt>
                <c:pt idx="9">
                  <c:v>1.402148221283572E-2</c:v>
                </c:pt>
                <c:pt idx="10">
                  <c:v>1.6328494158963348E-2</c:v>
                </c:pt>
                <c:pt idx="11">
                  <c:v>1.5907509661362739E-2</c:v>
                </c:pt>
                <c:pt idx="12">
                  <c:v>1.9069617680758145E-2</c:v>
                </c:pt>
                <c:pt idx="13">
                  <c:v>9.4007690008541273E-3</c:v>
                </c:pt>
                <c:pt idx="14">
                  <c:v>1.6357317448236711E-2</c:v>
                </c:pt>
                <c:pt idx="15">
                  <c:v>1.6598778540054492E-2</c:v>
                </c:pt>
                <c:pt idx="16">
                  <c:v>2.6094127720202778E-2</c:v>
                </c:pt>
                <c:pt idx="17">
                  <c:v>1.2272389090599774E-2</c:v>
                </c:pt>
                <c:pt idx="18">
                  <c:v>2.1496407736325902E-2</c:v>
                </c:pt>
                <c:pt idx="19">
                  <c:v>2.0808772558388942E-2</c:v>
                </c:pt>
                <c:pt idx="20">
                  <c:v>2.0236780524862028E-2</c:v>
                </c:pt>
                <c:pt idx="21">
                  <c:v>3.2651592753376937E-2</c:v>
                </c:pt>
                <c:pt idx="22">
                  <c:v>2.1871382454514303E-2</c:v>
                </c:pt>
                <c:pt idx="23">
                  <c:v>1.8500266680813133E-2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574592"/>
        <c:axId val="142706368"/>
      </c:lineChart>
      <c:catAx>
        <c:axId val="142574592"/>
        <c:scaling>
          <c:orientation val="minMax"/>
        </c:scaling>
        <c:delete val="0"/>
        <c:axPos val="b"/>
        <c:majorTickMark val="none"/>
        <c:minorTickMark val="none"/>
        <c:tickLblPos val="nextTo"/>
        <c:crossAx val="142706368"/>
        <c:crosses val="autoZero"/>
        <c:auto val="1"/>
        <c:lblAlgn val="ctr"/>
        <c:lblOffset val="100"/>
        <c:noMultiLvlLbl val="0"/>
      </c:catAx>
      <c:valAx>
        <c:axId val="142706368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spPr>
          <a:ln w="9525">
            <a:noFill/>
          </a:ln>
        </c:spPr>
        <c:crossAx val="14257459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Průměrná cena objednávky- seznam vs. google vs. ost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organic!$A$74</c:f>
              <c:strCache>
                <c:ptCount val="1"/>
                <c:pt idx="0">
                  <c:v>google - PCO</c:v>
                </c:pt>
              </c:strCache>
            </c:strRef>
          </c:tx>
          <c:marker>
            <c:symbol val="none"/>
          </c:marker>
          <c:cat>
            <c:strRef>
              <c:f>organic!$B$59:$Y$59</c:f>
              <c:strCache>
                <c:ptCount val="24"/>
                <c:pt idx="0">
                  <c:v>2011-09</c:v>
                </c:pt>
                <c:pt idx="1">
                  <c:v>2011-10</c:v>
                </c:pt>
                <c:pt idx="2">
                  <c:v>2011-11</c:v>
                </c:pt>
                <c:pt idx="3">
                  <c:v>2011-12</c:v>
                </c:pt>
                <c:pt idx="4">
                  <c:v>2012-01</c:v>
                </c:pt>
                <c:pt idx="5">
                  <c:v>2012-02</c:v>
                </c:pt>
                <c:pt idx="6">
                  <c:v>2012-03</c:v>
                </c:pt>
                <c:pt idx="7">
                  <c:v>2012-04</c:v>
                </c:pt>
                <c:pt idx="8">
                  <c:v>2012-06</c:v>
                </c:pt>
                <c:pt idx="9">
                  <c:v>2012-07</c:v>
                </c:pt>
                <c:pt idx="10">
                  <c:v>2012-08</c:v>
                </c:pt>
                <c:pt idx="11">
                  <c:v>2012-09</c:v>
                </c:pt>
                <c:pt idx="12">
                  <c:v>2012-10</c:v>
                </c:pt>
                <c:pt idx="13">
                  <c:v>2012-11</c:v>
                </c:pt>
                <c:pt idx="14">
                  <c:v>2012-12</c:v>
                </c:pt>
                <c:pt idx="15">
                  <c:v>2013-01</c:v>
                </c:pt>
                <c:pt idx="16">
                  <c:v>2013-02</c:v>
                </c:pt>
                <c:pt idx="17">
                  <c:v>2013-03</c:v>
                </c:pt>
                <c:pt idx="18">
                  <c:v>2013-04</c:v>
                </c:pt>
                <c:pt idx="19">
                  <c:v>2013-05</c:v>
                </c:pt>
                <c:pt idx="20">
                  <c:v>2013-06</c:v>
                </c:pt>
                <c:pt idx="21">
                  <c:v>2013-07</c:v>
                </c:pt>
                <c:pt idx="22">
                  <c:v>2013-08</c:v>
                </c:pt>
                <c:pt idx="23">
                  <c:v>2013-09</c:v>
                </c:pt>
              </c:strCache>
            </c:strRef>
          </c:cat>
          <c:val>
            <c:numRef>
              <c:f>organic!$B$74:$Y$74</c:f>
              <c:numCache>
                <c:formatCode>#,##0\ "Kč"</c:formatCode>
                <c:ptCount val="24"/>
                <c:pt idx="0">
                  <c:v>1586.4405471097457</c:v>
                </c:pt>
                <c:pt idx="1">
                  <c:v>1049.5252716245082</c:v>
                </c:pt>
                <c:pt idx="2">
                  <c:v>1083.7439239881671</c:v>
                </c:pt>
                <c:pt idx="3">
                  <c:v>1569.3237032254126</c:v>
                </c:pt>
                <c:pt idx="4">
                  <c:v>2213.5011178308555</c:v>
                </c:pt>
                <c:pt idx="5">
                  <c:v>1782.3996509766666</c:v>
                </c:pt>
                <c:pt idx="6">
                  <c:v>2340.9027355746007</c:v>
                </c:pt>
                <c:pt idx="7">
                  <c:v>1012.9031190751473</c:v>
                </c:pt>
                <c:pt idx="8">
                  <c:v>1881.8069087396934</c:v>
                </c:pt>
                <c:pt idx="9">
                  <c:v>1867.923402259303</c:v>
                </c:pt>
                <c:pt idx="10">
                  <c:v>2231.0183624678793</c:v>
                </c:pt>
                <c:pt idx="11">
                  <c:v>1951.8147792440411</c:v>
                </c:pt>
                <c:pt idx="12">
                  <c:v>825.73957557694382</c:v>
                </c:pt>
                <c:pt idx="13">
                  <c:v>1079.0053344459691</c:v>
                </c:pt>
                <c:pt idx="14">
                  <c:v>1355.9698191463322</c:v>
                </c:pt>
                <c:pt idx="15">
                  <c:v>1231.7985507947083</c:v>
                </c:pt>
                <c:pt idx="16">
                  <c:v>986.2413681973253</c:v>
                </c:pt>
                <c:pt idx="17">
                  <c:v>2546.4820890310025</c:v>
                </c:pt>
                <c:pt idx="18">
                  <c:v>1407.9795657997911</c:v>
                </c:pt>
                <c:pt idx="19">
                  <c:v>884.14503695358894</c:v>
                </c:pt>
                <c:pt idx="20">
                  <c:v>994.81434293119457</c:v>
                </c:pt>
                <c:pt idx="21">
                  <c:v>1511.5971819155325</c:v>
                </c:pt>
                <c:pt idx="22">
                  <c:v>2065.9753930152533</c:v>
                </c:pt>
                <c:pt idx="23">
                  <c:v>1928.8168485112892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organic!$A$69</c:f>
              <c:strCache>
                <c:ptCount val="1"/>
                <c:pt idx="0">
                  <c:v>seznam - PCO</c:v>
                </c:pt>
              </c:strCache>
            </c:strRef>
          </c:tx>
          <c:marker>
            <c:symbol val="none"/>
          </c:marker>
          <c:cat>
            <c:strRef>
              <c:f>organic!$B$59:$Y$59</c:f>
              <c:strCache>
                <c:ptCount val="24"/>
                <c:pt idx="0">
                  <c:v>2011-09</c:v>
                </c:pt>
                <c:pt idx="1">
                  <c:v>2011-10</c:v>
                </c:pt>
                <c:pt idx="2">
                  <c:v>2011-11</c:v>
                </c:pt>
                <c:pt idx="3">
                  <c:v>2011-12</c:v>
                </c:pt>
                <c:pt idx="4">
                  <c:v>2012-01</c:v>
                </c:pt>
                <c:pt idx="5">
                  <c:v>2012-02</c:v>
                </c:pt>
                <c:pt idx="6">
                  <c:v>2012-03</c:v>
                </c:pt>
                <c:pt idx="7">
                  <c:v>2012-04</c:v>
                </c:pt>
                <c:pt idx="8">
                  <c:v>2012-06</c:v>
                </c:pt>
                <c:pt idx="9">
                  <c:v>2012-07</c:v>
                </c:pt>
                <c:pt idx="10">
                  <c:v>2012-08</c:v>
                </c:pt>
                <c:pt idx="11">
                  <c:v>2012-09</c:v>
                </c:pt>
                <c:pt idx="12">
                  <c:v>2012-10</c:v>
                </c:pt>
                <c:pt idx="13">
                  <c:v>2012-11</c:v>
                </c:pt>
                <c:pt idx="14">
                  <c:v>2012-12</c:v>
                </c:pt>
                <c:pt idx="15">
                  <c:v>2013-01</c:v>
                </c:pt>
                <c:pt idx="16">
                  <c:v>2013-02</c:v>
                </c:pt>
                <c:pt idx="17">
                  <c:v>2013-03</c:v>
                </c:pt>
                <c:pt idx="18">
                  <c:v>2013-04</c:v>
                </c:pt>
                <c:pt idx="19">
                  <c:v>2013-05</c:v>
                </c:pt>
                <c:pt idx="20">
                  <c:v>2013-06</c:v>
                </c:pt>
                <c:pt idx="21">
                  <c:v>2013-07</c:v>
                </c:pt>
                <c:pt idx="22">
                  <c:v>2013-08</c:v>
                </c:pt>
                <c:pt idx="23">
                  <c:v>2013-09</c:v>
                </c:pt>
              </c:strCache>
            </c:strRef>
          </c:cat>
          <c:val>
            <c:numRef>
              <c:f>organic!$B$69:$Y$69</c:f>
              <c:numCache>
                <c:formatCode>#,##0\ "Kč"</c:formatCode>
                <c:ptCount val="24"/>
                <c:pt idx="0">
                  <c:v>1828.9563427491498</c:v>
                </c:pt>
                <c:pt idx="1">
                  <c:v>1119.1081760965587</c:v>
                </c:pt>
                <c:pt idx="2">
                  <c:v>923.66321072011067</c:v>
                </c:pt>
                <c:pt idx="3">
                  <c:v>829.33454679518741</c:v>
                </c:pt>
                <c:pt idx="4">
                  <c:v>1250.3123115166975</c:v>
                </c:pt>
                <c:pt idx="5">
                  <c:v>1009.1206163793395</c:v>
                </c:pt>
                <c:pt idx="6">
                  <c:v>1146.0590392029533</c:v>
                </c:pt>
                <c:pt idx="7">
                  <c:v>869.69723818138823</c:v>
                </c:pt>
                <c:pt idx="8">
                  <c:v>1321.6467881928443</c:v>
                </c:pt>
                <c:pt idx="9">
                  <c:v>1272.8674449063967</c:v>
                </c:pt>
                <c:pt idx="10">
                  <c:v>1749.7700074547688</c:v>
                </c:pt>
                <c:pt idx="11">
                  <c:v>2189.9923670781782</c:v>
                </c:pt>
                <c:pt idx="12">
                  <c:v>1292.4434343752996</c:v>
                </c:pt>
                <c:pt idx="13">
                  <c:v>1587.0222796945079</c:v>
                </c:pt>
                <c:pt idx="14">
                  <c:v>1168.8413126851399</c:v>
                </c:pt>
                <c:pt idx="15">
                  <c:v>2005.2130963552627</c:v>
                </c:pt>
                <c:pt idx="16">
                  <c:v>1815.8724570655816</c:v>
                </c:pt>
                <c:pt idx="17">
                  <c:v>1281.5263112224113</c:v>
                </c:pt>
                <c:pt idx="18">
                  <c:v>1354.6580361425324</c:v>
                </c:pt>
                <c:pt idx="19">
                  <c:v>1034.3304116952722</c:v>
                </c:pt>
                <c:pt idx="20">
                  <c:v>1914.0826608288912</c:v>
                </c:pt>
                <c:pt idx="21">
                  <c:v>2804.4979175715271</c:v>
                </c:pt>
                <c:pt idx="22">
                  <c:v>1808.9977365819943</c:v>
                </c:pt>
                <c:pt idx="23">
                  <c:v>1337.0754828515301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organic!$A$79</c:f>
              <c:strCache>
                <c:ptCount val="1"/>
                <c:pt idx="0">
                  <c:v>ostatní org - PCO</c:v>
                </c:pt>
              </c:strCache>
            </c:strRef>
          </c:tx>
          <c:marker>
            <c:symbol val="none"/>
          </c:marker>
          <c:cat>
            <c:strRef>
              <c:f>organic!$B$59:$Y$59</c:f>
              <c:strCache>
                <c:ptCount val="24"/>
                <c:pt idx="0">
                  <c:v>2011-09</c:v>
                </c:pt>
                <c:pt idx="1">
                  <c:v>2011-10</c:v>
                </c:pt>
                <c:pt idx="2">
                  <c:v>2011-11</c:v>
                </c:pt>
                <c:pt idx="3">
                  <c:v>2011-12</c:v>
                </c:pt>
                <c:pt idx="4">
                  <c:v>2012-01</c:v>
                </c:pt>
                <c:pt idx="5">
                  <c:v>2012-02</c:v>
                </c:pt>
                <c:pt idx="6">
                  <c:v>2012-03</c:v>
                </c:pt>
                <c:pt idx="7">
                  <c:v>2012-04</c:v>
                </c:pt>
                <c:pt idx="8">
                  <c:v>2012-06</c:v>
                </c:pt>
                <c:pt idx="9">
                  <c:v>2012-07</c:v>
                </c:pt>
                <c:pt idx="10">
                  <c:v>2012-08</c:v>
                </c:pt>
                <c:pt idx="11">
                  <c:v>2012-09</c:v>
                </c:pt>
                <c:pt idx="12">
                  <c:v>2012-10</c:v>
                </c:pt>
                <c:pt idx="13">
                  <c:v>2012-11</c:v>
                </c:pt>
                <c:pt idx="14">
                  <c:v>2012-12</c:v>
                </c:pt>
                <c:pt idx="15">
                  <c:v>2013-01</c:v>
                </c:pt>
                <c:pt idx="16">
                  <c:v>2013-02</c:v>
                </c:pt>
                <c:pt idx="17">
                  <c:v>2013-03</c:v>
                </c:pt>
                <c:pt idx="18">
                  <c:v>2013-04</c:v>
                </c:pt>
                <c:pt idx="19">
                  <c:v>2013-05</c:v>
                </c:pt>
                <c:pt idx="20">
                  <c:v>2013-06</c:v>
                </c:pt>
                <c:pt idx="21">
                  <c:v>2013-07</c:v>
                </c:pt>
                <c:pt idx="22">
                  <c:v>2013-08</c:v>
                </c:pt>
                <c:pt idx="23">
                  <c:v>2013-09</c:v>
                </c:pt>
              </c:strCache>
            </c:strRef>
          </c:cat>
          <c:val>
            <c:numRef>
              <c:f>organic!$B$79:$Y$79</c:f>
              <c:numCache>
                <c:formatCode>#,##0\ "Kč"</c:formatCode>
                <c:ptCount val="24"/>
                <c:pt idx="0">
                  <c:v>1570.9788827420662</c:v>
                </c:pt>
                <c:pt idx="1">
                  <c:v>2509.6538159375527</c:v>
                </c:pt>
                <c:pt idx="2">
                  <c:v>1701.486106576896</c:v>
                </c:pt>
                <c:pt idx="3">
                  <c:v>433.32223739984983</c:v>
                </c:pt>
                <c:pt idx="4">
                  <c:v>928.51839534954536</c:v>
                </c:pt>
                <c:pt idx="5">
                  <c:v>1732.5200041035034</c:v>
                </c:pt>
                <c:pt idx="6">
                  <c:v>2008.5622115712122</c:v>
                </c:pt>
                <c:pt idx="7">
                  <c:v>1817.6968734143093</c:v>
                </c:pt>
                <c:pt idx="8">
                  <c:v>2223.2025411667892</c:v>
                </c:pt>
                <c:pt idx="9">
                  <c:v>1699.0613448512729</c:v>
                </c:pt>
                <c:pt idx="10">
                  <c:v>1891.3983537316897</c:v>
                </c:pt>
                <c:pt idx="11">
                  <c:v>639.82488596895632</c:v>
                </c:pt>
                <c:pt idx="12">
                  <c:v>2027.7500498044415</c:v>
                </c:pt>
                <c:pt idx="13">
                  <c:v>1373.1939013905387</c:v>
                </c:pt>
                <c:pt idx="14">
                  <c:v>1525.495964296091</c:v>
                </c:pt>
                <c:pt idx="15">
                  <c:v>2173.4847703100381</c:v>
                </c:pt>
                <c:pt idx="16">
                  <c:v>1415.1226907994308</c:v>
                </c:pt>
                <c:pt idx="17">
                  <c:v>1614.9579993167242</c:v>
                </c:pt>
                <c:pt idx="18">
                  <c:v>1252.9501116637114</c:v>
                </c:pt>
                <c:pt idx="19">
                  <c:v>1645.9204609892984</c:v>
                </c:pt>
                <c:pt idx="20">
                  <c:v>2041.7748338729189</c:v>
                </c:pt>
                <c:pt idx="21">
                  <c:v>1090.0418697233604</c:v>
                </c:pt>
                <c:pt idx="22">
                  <c:v>1521.2012214823985</c:v>
                </c:pt>
                <c:pt idx="23">
                  <c:v>831.76924032067654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440832"/>
        <c:axId val="142708672"/>
      </c:lineChart>
      <c:catAx>
        <c:axId val="64440832"/>
        <c:scaling>
          <c:orientation val="minMax"/>
        </c:scaling>
        <c:delete val="0"/>
        <c:axPos val="b"/>
        <c:majorTickMark val="none"/>
        <c:minorTickMark val="none"/>
        <c:tickLblPos val="nextTo"/>
        <c:crossAx val="142708672"/>
        <c:crosses val="autoZero"/>
        <c:auto val="1"/>
        <c:lblAlgn val="ctr"/>
        <c:lblOffset val="100"/>
        <c:noMultiLvlLbl val="0"/>
      </c:catAx>
      <c:valAx>
        <c:axId val="142708672"/>
        <c:scaling>
          <c:orientation val="minMax"/>
        </c:scaling>
        <c:delete val="0"/>
        <c:axPos val="l"/>
        <c:majorGridlines/>
        <c:numFmt formatCode="#,##0\ &quot;Kč&quot;" sourceLinked="1"/>
        <c:majorTickMark val="none"/>
        <c:minorTickMark val="none"/>
        <c:tickLblPos val="nextTo"/>
        <c:spPr>
          <a:ln w="9525">
            <a:noFill/>
          </a:ln>
        </c:spPr>
        <c:crossAx val="6444083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Návštěvy a KP - PPC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cpc!$A$60</c:f>
              <c:strCache>
                <c:ptCount val="1"/>
                <c:pt idx="0">
                  <c:v>cpc - Návštěvy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cpc!$B$59:$Y$59</c:f>
              <c:strCache>
                <c:ptCount val="24"/>
                <c:pt idx="0">
                  <c:v>2011-09</c:v>
                </c:pt>
                <c:pt idx="1">
                  <c:v>2011-10</c:v>
                </c:pt>
                <c:pt idx="2">
                  <c:v>2011-11</c:v>
                </c:pt>
                <c:pt idx="3">
                  <c:v>2011-12</c:v>
                </c:pt>
                <c:pt idx="4">
                  <c:v>2012-01</c:v>
                </c:pt>
                <c:pt idx="5">
                  <c:v>2012-02</c:v>
                </c:pt>
                <c:pt idx="6">
                  <c:v>2012-03</c:v>
                </c:pt>
                <c:pt idx="7">
                  <c:v>2012-04</c:v>
                </c:pt>
                <c:pt idx="8">
                  <c:v>2012-06</c:v>
                </c:pt>
                <c:pt idx="9">
                  <c:v>2012-07</c:v>
                </c:pt>
                <c:pt idx="10">
                  <c:v>2012-08</c:v>
                </c:pt>
                <c:pt idx="11">
                  <c:v>2012-09</c:v>
                </c:pt>
                <c:pt idx="12">
                  <c:v>2012-10</c:v>
                </c:pt>
                <c:pt idx="13">
                  <c:v>2012-11</c:v>
                </c:pt>
                <c:pt idx="14">
                  <c:v>2012-12</c:v>
                </c:pt>
                <c:pt idx="15">
                  <c:v>2013-01</c:v>
                </c:pt>
                <c:pt idx="16">
                  <c:v>2013-02</c:v>
                </c:pt>
                <c:pt idx="17">
                  <c:v>2013-03</c:v>
                </c:pt>
                <c:pt idx="18">
                  <c:v>2013-04</c:v>
                </c:pt>
                <c:pt idx="19">
                  <c:v>2013-05</c:v>
                </c:pt>
                <c:pt idx="20">
                  <c:v>2013-06</c:v>
                </c:pt>
                <c:pt idx="21">
                  <c:v>2013-07</c:v>
                </c:pt>
                <c:pt idx="22">
                  <c:v>2013-08</c:v>
                </c:pt>
                <c:pt idx="23">
                  <c:v>2013-09</c:v>
                </c:pt>
              </c:strCache>
            </c:strRef>
          </c:cat>
          <c:val>
            <c:numRef>
              <c:f>cpc!$B$60:$Y$60</c:f>
              <c:numCache>
                <c:formatCode>#,##0</c:formatCode>
                <c:ptCount val="24"/>
                <c:pt idx="0">
                  <c:v>57415.460611426694</c:v>
                </c:pt>
                <c:pt idx="1">
                  <c:v>88771.556080224196</c:v>
                </c:pt>
                <c:pt idx="2">
                  <c:v>80601.823779468847</c:v>
                </c:pt>
                <c:pt idx="3">
                  <c:v>86099.582918459288</c:v>
                </c:pt>
                <c:pt idx="4">
                  <c:v>64738.582049830227</c:v>
                </c:pt>
                <c:pt idx="5">
                  <c:v>72783.4691291864</c:v>
                </c:pt>
                <c:pt idx="6">
                  <c:v>90537.58505650454</c:v>
                </c:pt>
                <c:pt idx="7">
                  <c:v>37370.494458051107</c:v>
                </c:pt>
                <c:pt idx="8">
                  <c:v>35491.964066236884</c:v>
                </c:pt>
                <c:pt idx="9">
                  <c:v>31954.701888448904</c:v>
                </c:pt>
                <c:pt idx="10">
                  <c:v>41634.542409035574</c:v>
                </c:pt>
                <c:pt idx="11">
                  <c:v>48071.729490653372</c:v>
                </c:pt>
                <c:pt idx="12">
                  <c:v>49719.818410323991</c:v>
                </c:pt>
                <c:pt idx="13">
                  <c:v>47064.432911393247</c:v>
                </c:pt>
                <c:pt idx="14">
                  <c:v>39248.545663798781</c:v>
                </c:pt>
                <c:pt idx="15">
                  <c:v>43237.76216916414</c:v>
                </c:pt>
                <c:pt idx="16">
                  <c:v>28669.914346410627</c:v>
                </c:pt>
                <c:pt idx="17">
                  <c:v>43867.693809533135</c:v>
                </c:pt>
                <c:pt idx="18">
                  <c:v>69657.033581191718</c:v>
                </c:pt>
                <c:pt idx="19">
                  <c:v>84121.454774298487</c:v>
                </c:pt>
                <c:pt idx="20">
                  <c:v>49720.774674934277</c:v>
                </c:pt>
                <c:pt idx="21">
                  <c:v>101439.13276511112</c:v>
                </c:pt>
                <c:pt idx="22">
                  <c:v>88825.709220358665</c:v>
                </c:pt>
                <c:pt idx="23">
                  <c:v>70700.271481561984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2645760"/>
        <c:axId val="142711552"/>
      </c:barChart>
      <c:lineChart>
        <c:grouping val="standard"/>
        <c:varyColors val="0"/>
        <c:ser>
          <c:idx val="1"/>
          <c:order val="1"/>
          <c:tx>
            <c:strRef>
              <c:f>cpc!$A$63</c:f>
              <c:strCache>
                <c:ptCount val="1"/>
                <c:pt idx="0">
                  <c:v>cpc - KP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rgbClr val="4F81BD"/>
                </a:solidFill>
              </a:ln>
            </c:spPr>
          </c:marker>
          <c:cat>
            <c:strRef>
              <c:f>cpc!$B$59:$Y$59</c:f>
              <c:strCache>
                <c:ptCount val="24"/>
                <c:pt idx="0">
                  <c:v>2011-09</c:v>
                </c:pt>
                <c:pt idx="1">
                  <c:v>2011-10</c:v>
                </c:pt>
                <c:pt idx="2">
                  <c:v>2011-11</c:v>
                </c:pt>
                <c:pt idx="3">
                  <c:v>2011-12</c:v>
                </c:pt>
                <c:pt idx="4">
                  <c:v>2012-01</c:v>
                </c:pt>
                <c:pt idx="5">
                  <c:v>2012-02</c:v>
                </c:pt>
                <c:pt idx="6">
                  <c:v>2012-03</c:v>
                </c:pt>
                <c:pt idx="7">
                  <c:v>2012-04</c:v>
                </c:pt>
                <c:pt idx="8">
                  <c:v>2012-06</c:v>
                </c:pt>
                <c:pt idx="9">
                  <c:v>2012-07</c:v>
                </c:pt>
                <c:pt idx="10">
                  <c:v>2012-08</c:v>
                </c:pt>
                <c:pt idx="11">
                  <c:v>2012-09</c:v>
                </c:pt>
                <c:pt idx="12">
                  <c:v>2012-10</c:v>
                </c:pt>
                <c:pt idx="13">
                  <c:v>2012-11</c:v>
                </c:pt>
                <c:pt idx="14">
                  <c:v>2012-12</c:v>
                </c:pt>
                <c:pt idx="15">
                  <c:v>2013-01</c:v>
                </c:pt>
                <c:pt idx="16">
                  <c:v>2013-02</c:v>
                </c:pt>
                <c:pt idx="17">
                  <c:v>2013-03</c:v>
                </c:pt>
                <c:pt idx="18">
                  <c:v>2013-04</c:v>
                </c:pt>
                <c:pt idx="19">
                  <c:v>2013-05</c:v>
                </c:pt>
                <c:pt idx="20">
                  <c:v>2013-06</c:v>
                </c:pt>
                <c:pt idx="21">
                  <c:v>2013-07</c:v>
                </c:pt>
                <c:pt idx="22">
                  <c:v>2013-08</c:v>
                </c:pt>
                <c:pt idx="23">
                  <c:v>2013-09</c:v>
                </c:pt>
              </c:strCache>
            </c:strRef>
          </c:cat>
          <c:val>
            <c:numRef>
              <c:f>cpc!$B$63:$Y$63</c:f>
              <c:numCache>
                <c:formatCode>0.00%</c:formatCode>
                <c:ptCount val="24"/>
                <c:pt idx="0">
                  <c:v>1.5149985328460272E-2</c:v>
                </c:pt>
                <c:pt idx="1">
                  <c:v>1.1244521840237564E-2</c:v>
                </c:pt>
                <c:pt idx="2">
                  <c:v>1.179574112207094E-2</c:v>
                </c:pt>
                <c:pt idx="3">
                  <c:v>2.3270652000227925E-2</c:v>
                </c:pt>
                <c:pt idx="4">
                  <c:v>2.0426007277820946E-2</c:v>
                </c:pt>
                <c:pt idx="5">
                  <c:v>1.2995434203378774E-2</c:v>
                </c:pt>
                <c:pt idx="6">
                  <c:v>8.8662834008418172E-3</c:v>
                </c:pt>
                <c:pt idx="7">
                  <c:v>1.4383656801299896E-2</c:v>
                </c:pt>
                <c:pt idx="8">
                  <c:v>1.728639438640411E-2</c:v>
                </c:pt>
                <c:pt idx="9">
                  <c:v>2.5168516514367995E-2</c:v>
                </c:pt>
                <c:pt idx="10">
                  <c:v>1.2956474308453324E-2</c:v>
                </c:pt>
                <c:pt idx="11">
                  <c:v>8.6393118763591122E-3</c:v>
                </c:pt>
                <c:pt idx="12">
                  <c:v>1.4561899741010334E-2</c:v>
                </c:pt>
                <c:pt idx="13">
                  <c:v>3.1424607050461156E-2</c:v>
                </c:pt>
                <c:pt idx="14">
                  <c:v>3.3641553222387835E-2</c:v>
                </c:pt>
                <c:pt idx="15">
                  <c:v>2.6140628879225049E-2</c:v>
                </c:pt>
                <c:pt idx="16">
                  <c:v>2.5762327970739549E-2</c:v>
                </c:pt>
                <c:pt idx="17">
                  <c:v>1.7650960402371286E-2</c:v>
                </c:pt>
                <c:pt idx="18">
                  <c:v>9.1646116388779571E-3</c:v>
                </c:pt>
                <c:pt idx="19">
                  <c:v>1.1934113186229915E-2</c:v>
                </c:pt>
                <c:pt idx="20">
                  <c:v>1.7072764783866785E-2</c:v>
                </c:pt>
                <c:pt idx="21">
                  <c:v>1.2216851235665375E-2</c:v>
                </c:pt>
                <c:pt idx="22">
                  <c:v>7.5323979571923876E-3</c:v>
                </c:pt>
                <c:pt idx="23">
                  <c:v>1.2963592160037571E-2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644736"/>
        <c:axId val="142710976"/>
      </c:lineChart>
      <c:catAx>
        <c:axId val="142644736"/>
        <c:scaling>
          <c:orientation val="minMax"/>
        </c:scaling>
        <c:delete val="0"/>
        <c:axPos val="b"/>
        <c:majorTickMark val="none"/>
        <c:minorTickMark val="none"/>
        <c:tickLblPos val="nextTo"/>
        <c:crossAx val="142710976"/>
        <c:crosses val="autoZero"/>
        <c:auto val="1"/>
        <c:lblAlgn val="ctr"/>
        <c:lblOffset val="100"/>
        <c:noMultiLvlLbl val="0"/>
      </c:catAx>
      <c:valAx>
        <c:axId val="142710976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42644736"/>
        <c:crosses val="autoZero"/>
        <c:crossBetween val="between"/>
      </c:valAx>
      <c:valAx>
        <c:axId val="142711552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crossAx val="142645760"/>
        <c:crosses val="max"/>
        <c:crossBetween val="between"/>
      </c:valAx>
      <c:catAx>
        <c:axId val="142645760"/>
        <c:scaling>
          <c:orientation val="minMax"/>
        </c:scaling>
        <c:delete val="1"/>
        <c:axPos val="b"/>
        <c:majorTickMark val="out"/>
        <c:minorTickMark val="none"/>
        <c:tickLblPos val="none"/>
        <c:crossAx val="142711552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Transakce a obrat</a:t>
            </a:r>
            <a:r>
              <a:rPr lang="cs-CZ" baseline="0"/>
              <a:t> </a:t>
            </a:r>
            <a:r>
              <a:rPr lang="cs-CZ"/>
              <a:t>- PPC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cpc!$A$62</c:f>
              <c:strCache>
                <c:ptCount val="1"/>
                <c:pt idx="0">
                  <c:v>cpc - Obrat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cpc!$B$59:$Y$59</c:f>
              <c:strCache>
                <c:ptCount val="24"/>
                <c:pt idx="0">
                  <c:v>2011-09</c:v>
                </c:pt>
                <c:pt idx="1">
                  <c:v>2011-10</c:v>
                </c:pt>
                <c:pt idx="2">
                  <c:v>2011-11</c:v>
                </c:pt>
                <c:pt idx="3">
                  <c:v>2011-12</c:v>
                </c:pt>
                <c:pt idx="4">
                  <c:v>2012-01</c:v>
                </c:pt>
                <c:pt idx="5">
                  <c:v>2012-02</c:v>
                </c:pt>
                <c:pt idx="6">
                  <c:v>2012-03</c:v>
                </c:pt>
                <c:pt idx="7">
                  <c:v>2012-04</c:v>
                </c:pt>
                <c:pt idx="8">
                  <c:v>2012-06</c:v>
                </c:pt>
                <c:pt idx="9">
                  <c:v>2012-07</c:v>
                </c:pt>
                <c:pt idx="10">
                  <c:v>2012-08</c:v>
                </c:pt>
                <c:pt idx="11">
                  <c:v>2012-09</c:v>
                </c:pt>
                <c:pt idx="12">
                  <c:v>2012-10</c:v>
                </c:pt>
                <c:pt idx="13">
                  <c:v>2012-11</c:v>
                </c:pt>
                <c:pt idx="14">
                  <c:v>2012-12</c:v>
                </c:pt>
                <c:pt idx="15">
                  <c:v>2013-01</c:v>
                </c:pt>
                <c:pt idx="16">
                  <c:v>2013-02</c:v>
                </c:pt>
                <c:pt idx="17">
                  <c:v>2013-03</c:v>
                </c:pt>
                <c:pt idx="18">
                  <c:v>2013-04</c:v>
                </c:pt>
                <c:pt idx="19">
                  <c:v>2013-05</c:v>
                </c:pt>
                <c:pt idx="20">
                  <c:v>2013-06</c:v>
                </c:pt>
                <c:pt idx="21">
                  <c:v>2013-07</c:v>
                </c:pt>
                <c:pt idx="22">
                  <c:v>2013-08</c:v>
                </c:pt>
                <c:pt idx="23">
                  <c:v>2013-09</c:v>
                </c:pt>
              </c:strCache>
            </c:strRef>
          </c:cat>
          <c:val>
            <c:numRef>
              <c:f>cpc!$B$62:$Y$62</c:f>
              <c:numCache>
                <c:formatCode>#,##0\ "Kč"</c:formatCode>
                <c:ptCount val="24"/>
                <c:pt idx="0">
                  <c:v>835188.60433776514</c:v>
                </c:pt>
                <c:pt idx="1">
                  <c:v>840563.3970567754</c:v>
                </c:pt>
                <c:pt idx="2">
                  <c:v>1700967.095527072</c:v>
                </c:pt>
                <c:pt idx="3">
                  <c:v>1766352.1855515323</c:v>
                </c:pt>
                <c:pt idx="4">
                  <c:v>1256377.8430886078</c:v>
                </c:pt>
                <c:pt idx="5">
                  <c:v>1727304.5392768611</c:v>
                </c:pt>
                <c:pt idx="6">
                  <c:v>1759024.7946753963</c:v>
                </c:pt>
                <c:pt idx="7">
                  <c:v>673208.9297773944</c:v>
                </c:pt>
                <c:pt idx="8">
                  <c:v>1710651.2987210702</c:v>
                </c:pt>
                <c:pt idx="9">
                  <c:v>1269661.9340164301</c:v>
                </c:pt>
                <c:pt idx="10">
                  <c:v>1174054.463646529</c:v>
                </c:pt>
                <c:pt idx="11">
                  <c:v>911382.90685243998</c:v>
                </c:pt>
                <c:pt idx="12">
                  <c:v>730670.40559006063</c:v>
                </c:pt>
                <c:pt idx="13">
                  <c:v>1331046.4854594802</c:v>
                </c:pt>
                <c:pt idx="14">
                  <c:v>1533198.4467603411</c:v>
                </c:pt>
                <c:pt idx="15">
                  <c:v>1143577.5505522555</c:v>
                </c:pt>
                <c:pt idx="16">
                  <c:v>715114.55716700898</c:v>
                </c:pt>
                <c:pt idx="17">
                  <c:v>840721.89584959648</c:v>
                </c:pt>
                <c:pt idx="18">
                  <c:v>1484790.8238406845</c:v>
                </c:pt>
                <c:pt idx="19">
                  <c:v>864370.15001439268</c:v>
                </c:pt>
                <c:pt idx="20">
                  <c:v>963783.26334459952</c:v>
                </c:pt>
                <c:pt idx="21">
                  <c:v>2319694.2712367917</c:v>
                </c:pt>
                <c:pt idx="22">
                  <c:v>1637535.8854867688</c:v>
                </c:pt>
                <c:pt idx="23">
                  <c:v>1303238.6134926514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2857216"/>
        <c:axId val="143255232"/>
      </c:barChart>
      <c:lineChart>
        <c:grouping val="standard"/>
        <c:varyColors val="0"/>
        <c:ser>
          <c:idx val="0"/>
          <c:order val="0"/>
          <c:tx>
            <c:strRef>
              <c:f>cpc!$A$61</c:f>
              <c:strCache>
                <c:ptCount val="1"/>
                <c:pt idx="0">
                  <c:v>cpc - Transakce</c:v>
                </c:pt>
              </c:strCache>
            </c:strRef>
          </c:tx>
          <c:cat>
            <c:strRef>
              <c:f>cpc!$B$59:$Y$59</c:f>
              <c:strCache>
                <c:ptCount val="24"/>
                <c:pt idx="0">
                  <c:v>2011-09</c:v>
                </c:pt>
                <c:pt idx="1">
                  <c:v>2011-10</c:v>
                </c:pt>
                <c:pt idx="2">
                  <c:v>2011-11</c:v>
                </c:pt>
                <c:pt idx="3">
                  <c:v>2011-12</c:v>
                </c:pt>
                <c:pt idx="4">
                  <c:v>2012-01</c:v>
                </c:pt>
                <c:pt idx="5">
                  <c:v>2012-02</c:v>
                </c:pt>
                <c:pt idx="6">
                  <c:v>2012-03</c:v>
                </c:pt>
                <c:pt idx="7">
                  <c:v>2012-04</c:v>
                </c:pt>
                <c:pt idx="8">
                  <c:v>2012-06</c:v>
                </c:pt>
                <c:pt idx="9">
                  <c:v>2012-07</c:v>
                </c:pt>
                <c:pt idx="10">
                  <c:v>2012-08</c:v>
                </c:pt>
                <c:pt idx="11">
                  <c:v>2012-09</c:v>
                </c:pt>
                <c:pt idx="12">
                  <c:v>2012-10</c:v>
                </c:pt>
                <c:pt idx="13">
                  <c:v>2012-11</c:v>
                </c:pt>
                <c:pt idx="14">
                  <c:v>2012-12</c:v>
                </c:pt>
                <c:pt idx="15">
                  <c:v>2013-01</c:v>
                </c:pt>
                <c:pt idx="16">
                  <c:v>2013-02</c:v>
                </c:pt>
                <c:pt idx="17">
                  <c:v>2013-03</c:v>
                </c:pt>
                <c:pt idx="18">
                  <c:v>2013-04</c:v>
                </c:pt>
                <c:pt idx="19">
                  <c:v>2013-05</c:v>
                </c:pt>
                <c:pt idx="20">
                  <c:v>2013-06</c:v>
                </c:pt>
                <c:pt idx="21">
                  <c:v>2013-07</c:v>
                </c:pt>
                <c:pt idx="22">
                  <c:v>2013-08</c:v>
                </c:pt>
                <c:pt idx="23">
                  <c:v>2013-09</c:v>
                </c:pt>
              </c:strCache>
            </c:strRef>
          </c:cat>
          <c:val>
            <c:numRef>
              <c:f>cpc!$B$61:$Y$61</c:f>
              <c:numCache>
                <c:formatCode>#,##0</c:formatCode>
                <c:ptCount val="24"/>
                <c:pt idx="0">
                  <c:v>869.84338588990306</c:v>
                </c:pt>
                <c:pt idx="1">
                  <c:v>998.19370113595471</c:v>
                </c:pt>
                <c:pt idx="2">
                  <c:v>950.75824726939607</c:v>
                </c:pt>
                <c:pt idx="3">
                  <c:v>2003.5934314602348</c:v>
                </c:pt>
                <c:pt idx="4">
                  <c:v>1322.3507481056406</c:v>
                </c:pt>
                <c:pt idx="5">
                  <c:v>945.85278416199208</c:v>
                </c:pt>
                <c:pt idx="6">
                  <c:v>802.73188753879037</c:v>
                </c:pt>
                <c:pt idx="7">
                  <c:v>537.52436677948685</c:v>
                </c:pt>
                <c:pt idx="8">
                  <c:v>613.52808839705369</c:v>
                </c:pt>
                <c:pt idx="9">
                  <c:v>804.25244219113245</c:v>
                </c:pt>
                <c:pt idx="10">
                  <c:v>539.43687906687978</c:v>
                </c:pt>
                <c:pt idx="11">
                  <c:v>415.30666350572426</c:v>
                </c:pt>
                <c:pt idx="12">
                  <c:v>724.01501083237781</c:v>
                </c:pt>
                <c:pt idx="13">
                  <c:v>1478.9813102933244</c:v>
                </c:pt>
                <c:pt idx="14">
                  <c:v>1320.3820378500059</c:v>
                </c:pt>
                <c:pt idx="15">
                  <c:v>1130.2622944323164</c:v>
                </c:pt>
                <c:pt idx="16">
                  <c:v>738.60373628524155</c:v>
                </c:pt>
                <c:pt idx="17">
                  <c:v>774.30692637541733</c:v>
                </c:pt>
                <c:pt idx="18">
                  <c:v>638.37966068790229</c:v>
                </c:pt>
                <c:pt idx="19">
                  <c:v>1003.9149626667989</c:v>
                </c:pt>
                <c:pt idx="20">
                  <c:v>848.87109089679336</c:v>
                </c:pt>
                <c:pt idx="21">
                  <c:v>1239.2667944662719</c:v>
                </c:pt>
                <c:pt idx="22">
                  <c:v>669.07059067759462</c:v>
                </c:pt>
                <c:pt idx="23">
                  <c:v>916.52948509090481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856192"/>
        <c:axId val="143254656"/>
      </c:lineChart>
      <c:catAx>
        <c:axId val="142856192"/>
        <c:scaling>
          <c:orientation val="minMax"/>
        </c:scaling>
        <c:delete val="0"/>
        <c:axPos val="b"/>
        <c:majorTickMark val="none"/>
        <c:minorTickMark val="none"/>
        <c:tickLblPos val="nextTo"/>
        <c:crossAx val="143254656"/>
        <c:crosses val="autoZero"/>
        <c:auto val="1"/>
        <c:lblAlgn val="ctr"/>
        <c:lblOffset val="100"/>
        <c:noMultiLvlLbl val="0"/>
      </c:catAx>
      <c:valAx>
        <c:axId val="14325465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42856192"/>
        <c:crosses val="autoZero"/>
        <c:crossBetween val="between"/>
      </c:valAx>
      <c:valAx>
        <c:axId val="143255232"/>
        <c:scaling>
          <c:orientation val="minMax"/>
        </c:scaling>
        <c:delete val="0"/>
        <c:axPos val="r"/>
        <c:numFmt formatCode="#,##0\ &quot;Kč&quot;" sourceLinked="1"/>
        <c:majorTickMark val="out"/>
        <c:minorTickMark val="none"/>
        <c:tickLblPos val="nextTo"/>
        <c:crossAx val="142857216"/>
        <c:crosses val="max"/>
        <c:crossBetween val="between"/>
      </c:valAx>
      <c:catAx>
        <c:axId val="142857216"/>
        <c:scaling>
          <c:orientation val="minMax"/>
        </c:scaling>
        <c:delete val="1"/>
        <c:axPos val="b"/>
        <c:majorTickMark val="out"/>
        <c:minorTickMark val="none"/>
        <c:tickLblPos val="none"/>
        <c:crossAx val="143255232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Návštěvy PPC - sklik vs. AdWords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cpc!$A$65</c:f>
              <c:strCache>
                <c:ptCount val="1"/>
                <c:pt idx="0">
                  <c:v>adwords - Návštěvy</c:v>
                </c:pt>
              </c:strCache>
            </c:strRef>
          </c:tx>
          <c:marker>
            <c:symbol val="none"/>
          </c:marker>
          <c:cat>
            <c:strRef>
              <c:f>cpc!$B$59:$Y$59</c:f>
              <c:strCache>
                <c:ptCount val="24"/>
                <c:pt idx="0">
                  <c:v>2011-09</c:v>
                </c:pt>
                <c:pt idx="1">
                  <c:v>2011-10</c:v>
                </c:pt>
                <c:pt idx="2">
                  <c:v>2011-11</c:v>
                </c:pt>
                <c:pt idx="3">
                  <c:v>2011-12</c:v>
                </c:pt>
                <c:pt idx="4">
                  <c:v>2012-01</c:v>
                </c:pt>
                <c:pt idx="5">
                  <c:v>2012-02</c:v>
                </c:pt>
                <c:pt idx="6">
                  <c:v>2012-03</c:v>
                </c:pt>
                <c:pt idx="7">
                  <c:v>2012-04</c:v>
                </c:pt>
                <c:pt idx="8">
                  <c:v>2012-06</c:v>
                </c:pt>
                <c:pt idx="9">
                  <c:v>2012-07</c:v>
                </c:pt>
                <c:pt idx="10">
                  <c:v>2012-08</c:v>
                </c:pt>
                <c:pt idx="11">
                  <c:v>2012-09</c:v>
                </c:pt>
                <c:pt idx="12">
                  <c:v>2012-10</c:v>
                </c:pt>
                <c:pt idx="13">
                  <c:v>2012-11</c:v>
                </c:pt>
                <c:pt idx="14">
                  <c:v>2012-12</c:v>
                </c:pt>
                <c:pt idx="15">
                  <c:v>2013-01</c:v>
                </c:pt>
                <c:pt idx="16">
                  <c:v>2013-02</c:v>
                </c:pt>
                <c:pt idx="17">
                  <c:v>2013-03</c:v>
                </c:pt>
                <c:pt idx="18">
                  <c:v>2013-04</c:v>
                </c:pt>
                <c:pt idx="19">
                  <c:v>2013-05</c:v>
                </c:pt>
                <c:pt idx="20">
                  <c:v>2013-06</c:v>
                </c:pt>
                <c:pt idx="21">
                  <c:v>2013-07</c:v>
                </c:pt>
                <c:pt idx="22">
                  <c:v>2013-08</c:v>
                </c:pt>
                <c:pt idx="23">
                  <c:v>2013-09</c:v>
                </c:pt>
              </c:strCache>
            </c:strRef>
          </c:cat>
          <c:val>
            <c:numRef>
              <c:f>cpc!$B$65:$Y$65</c:f>
              <c:numCache>
                <c:formatCode>#,##0</c:formatCode>
                <c:ptCount val="24"/>
                <c:pt idx="0">
                  <c:v>39791.176752194762</c:v>
                </c:pt>
                <c:pt idx="1">
                  <c:v>35719.928257406398</c:v>
                </c:pt>
                <c:pt idx="2">
                  <c:v>53827.791369503975</c:v>
                </c:pt>
                <c:pt idx="3">
                  <c:v>37168.641004492427</c:v>
                </c:pt>
                <c:pt idx="4">
                  <c:v>46550.47834082698</c:v>
                </c:pt>
                <c:pt idx="5">
                  <c:v>51069.818400651762</c:v>
                </c:pt>
                <c:pt idx="6">
                  <c:v>43329.705510090142</c:v>
                </c:pt>
                <c:pt idx="7">
                  <c:v>27476.5958186194</c:v>
                </c:pt>
                <c:pt idx="8">
                  <c:v>29038.926708846549</c:v>
                </c:pt>
                <c:pt idx="9">
                  <c:v>39768.474350669327</c:v>
                </c:pt>
                <c:pt idx="10">
                  <c:v>40411.482504394633</c:v>
                </c:pt>
                <c:pt idx="11">
                  <c:v>34296.401113345404</c:v>
                </c:pt>
                <c:pt idx="12">
                  <c:v>33433.075721738751</c:v>
                </c:pt>
                <c:pt idx="13">
                  <c:v>45838.830558782836</c:v>
                </c:pt>
                <c:pt idx="14">
                  <c:v>35250.521486549864</c:v>
                </c:pt>
                <c:pt idx="15">
                  <c:v>41747.399904554943</c:v>
                </c:pt>
                <c:pt idx="16">
                  <c:v>31062.409729176692</c:v>
                </c:pt>
                <c:pt idx="17">
                  <c:v>35007.459127017901</c:v>
                </c:pt>
                <c:pt idx="18">
                  <c:v>61430.545125500255</c:v>
                </c:pt>
                <c:pt idx="19">
                  <c:v>45281.612824536678</c:v>
                </c:pt>
                <c:pt idx="20">
                  <c:v>40022.708873751602</c:v>
                </c:pt>
                <c:pt idx="21">
                  <c:v>36204.5427422789</c:v>
                </c:pt>
                <c:pt idx="22">
                  <c:v>34452.285587959246</c:v>
                </c:pt>
                <c:pt idx="23">
                  <c:v>30125.752630910523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cpc!$A$70</c:f>
              <c:strCache>
                <c:ptCount val="1"/>
                <c:pt idx="0">
                  <c:v>sklik - Návštěvy</c:v>
                </c:pt>
              </c:strCache>
            </c:strRef>
          </c:tx>
          <c:marker>
            <c:symbol val="none"/>
          </c:marker>
          <c:cat>
            <c:strRef>
              <c:f>cpc!$B$59:$Y$59</c:f>
              <c:strCache>
                <c:ptCount val="24"/>
                <c:pt idx="0">
                  <c:v>2011-09</c:v>
                </c:pt>
                <c:pt idx="1">
                  <c:v>2011-10</c:v>
                </c:pt>
                <c:pt idx="2">
                  <c:v>2011-11</c:v>
                </c:pt>
                <c:pt idx="3">
                  <c:v>2011-12</c:v>
                </c:pt>
                <c:pt idx="4">
                  <c:v>2012-01</c:v>
                </c:pt>
                <c:pt idx="5">
                  <c:v>2012-02</c:v>
                </c:pt>
                <c:pt idx="6">
                  <c:v>2012-03</c:v>
                </c:pt>
                <c:pt idx="7">
                  <c:v>2012-04</c:v>
                </c:pt>
                <c:pt idx="8">
                  <c:v>2012-06</c:v>
                </c:pt>
                <c:pt idx="9">
                  <c:v>2012-07</c:v>
                </c:pt>
                <c:pt idx="10">
                  <c:v>2012-08</c:v>
                </c:pt>
                <c:pt idx="11">
                  <c:v>2012-09</c:v>
                </c:pt>
                <c:pt idx="12">
                  <c:v>2012-10</c:v>
                </c:pt>
                <c:pt idx="13">
                  <c:v>2012-11</c:v>
                </c:pt>
                <c:pt idx="14">
                  <c:v>2012-12</c:v>
                </c:pt>
                <c:pt idx="15">
                  <c:v>2013-01</c:v>
                </c:pt>
                <c:pt idx="16">
                  <c:v>2013-02</c:v>
                </c:pt>
                <c:pt idx="17">
                  <c:v>2013-03</c:v>
                </c:pt>
                <c:pt idx="18">
                  <c:v>2013-04</c:v>
                </c:pt>
                <c:pt idx="19">
                  <c:v>2013-05</c:v>
                </c:pt>
                <c:pt idx="20">
                  <c:v>2013-06</c:v>
                </c:pt>
                <c:pt idx="21">
                  <c:v>2013-07</c:v>
                </c:pt>
                <c:pt idx="22">
                  <c:v>2013-08</c:v>
                </c:pt>
                <c:pt idx="23">
                  <c:v>2013-09</c:v>
                </c:pt>
              </c:strCache>
            </c:strRef>
          </c:cat>
          <c:val>
            <c:numRef>
              <c:f>cpc!$B$70:$Y$70</c:f>
              <c:numCache>
                <c:formatCode>#,##0</c:formatCode>
                <c:ptCount val="24"/>
                <c:pt idx="0">
                  <c:v>25027.731471353334</c:v>
                </c:pt>
                <c:pt idx="1">
                  <c:v>24272.918776310536</c:v>
                </c:pt>
                <c:pt idx="2">
                  <c:v>31143.423883990981</c:v>
                </c:pt>
                <c:pt idx="3">
                  <c:v>46992.628451148346</c:v>
                </c:pt>
                <c:pt idx="4">
                  <c:v>47408.578135266973</c:v>
                </c:pt>
                <c:pt idx="5">
                  <c:v>54171.657443051372</c:v>
                </c:pt>
                <c:pt idx="6">
                  <c:v>43911.974336573388</c:v>
                </c:pt>
                <c:pt idx="7">
                  <c:v>17952.992744133662</c:v>
                </c:pt>
                <c:pt idx="8">
                  <c:v>9067.9129393555886</c:v>
                </c:pt>
                <c:pt idx="9">
                  <c:v>11786.324941694213</c:v>
                </c:pt>
                <c:pt idx="10">
                  <c:v>12993.669970498549</c:v>
                </c:pt>
                <c:pt idx="11">
                  <c:v>11334.601551919091</c:v>
                </c:pt>
                <c:pt idx="12">
                  <c:v>21246.438072320976</c:v>
                </c:pt>
                <c:pt idx="13">
                  <c:v>21446.898155790765</c:v>
                </c:pt>
                <c:pt idx="14">
                  <c:v>23202.148756661139</c:v>
                </c:pt>
                <c:pt idx="15">
                  <c:v>17378.747432307053</c:v>
                </c:pt>
                <c:pt idx="16">
                  <c:v>13931.478983522928</c:v>
                </c:pt>
                <c:pt idx="17">
                  <c:v>10575.007799917938</c:v>
                </c:pt>
                <c:pt idx="18">
                  <c:v>12637.443884212747</c:v>
                </c:pt>
                <c:pt idx="19">
                  <c:v>36279.505374028769</c:v>
                </c:pt>
                <c:pt idx="20">
                  <c:v>33369.740527604175</c:v>
                </c:pt>
                <c:pt idx="21">
                  <c:v>32717.301339672482</c:v>
                </c:pt>
                <c:pt idx="22">
                  <c:v>31923.053488076232</c:v>
                </c:pt>
                <c:pt idx="23">
                  <c:v>31036.258420509988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857728"/>
        <c:axId val="143257536"/>
      </c:lineChart>
      <c:catAx>
        <c:axId val="142857728"/>
        <c:scaling>
          <c:orientation val="minMax"/>
        </c:scaling>
        <c:delete val="0"/>
        <c:axPos val="b"/>
        <c:majorTickMark val="none"/>
        <c:minorTickMark val="none"/>
        <c:tickLblPos val="nextTo"/>
        <c:crossAx val="143257536"/>
        <c:crosses val="autoZero"/>
        <c:auto val="1"/>
        <c:lblAlgn val="ctr"/>
        <c:lblOffset val="100"/>
        <c:noMultiLvlLbl val="0"/>
      </c:catAx>
      <c:valAx>
        <c:axId val="14325753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4285772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Obrat</a:t>
            </a:r>
            <a:r>
              <a:rPr lang="cs-CZ" baseline="0"/>
              <a:t> - kanály</a:t>
            </a:r>
            <a:endParaRPr lang="cs-CZ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4764027138117175E-2"/>
          <c:y val="0.14448225306986545"/>
          <c:w val="0.96724343419336944"/>
          <c:h val="0.8381019402547436"/>
        </c:manualLayout>
      </c:layout>
      <c:pie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prehled!$Q$4:$Q$11</c:f>
              <c:strCache>
                <c:ptCount val="7"/>
                <c:pt idx="0">
                  <c:v>organic</c:v>
                </c:pt>
                <c:pt idx="1">
                  <c:v>cpc</c:v>
                </c:pt>
                <c:pt idx="2">
                  <c:v>zbožáky</c:v>
                </c:pt>
                <c:pt idx="3">
                  <c:v>direct</c:v>
                </c:pt>
                <c:pt idx="4">
                  <c:v>referral</c:v>
                </c:pt>
                <c:pt idx="5">
                  <c:v>massmail</c:v>
                </c:pt>
                <c:pt idx="6">
                  <c:v>RTB</c:v>
                </c:pt>
              </c:strCache>
            </c:strRef>
          </c:cat>
          <c:val>
            <c:numRef>
              <c:f>prehled!$S$4:$S$11</c:f>
              <c:numCache>
                <c:formatCode>#,##0\ "Kč"</c:formatCode>
                <c:ptCount val="8"/>
                <c:pt idx="0">
                  <c:v>1741411.3256157408</c:v>
                </c:pt>
                <c:pt idx="1">
                  <c:v>1303238.6134926514</c:v>
                </c:pt>
                <c:pt idx="2">
                  <c:v>789571.62226799037</c:v>
                </c:pt>
                <c:pt idx="3">
                  <c:v>1079425.1525568196</c:v>
                </c:pt>
                <c:pt idx="4">
                  <c:v>380685.35207889689</c:v>
                </c:pt>
                <c:pt idx="5">
                  <c:v>210963.02599513953</c:v>
                </c:pt>
                <c:pt idx="6">
                  <c:v>227356.5351186585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Obrat PPC - sklik vs. AdWords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cpc!$A$67</c:f>
              <c:strCache>
                <c:ptCount val="1"/>
                <c:pt idx="0">
                  <c:v>adwords - Obrat</c:v>
                </c:pt>
              </c:strCache>
            </c:strRef>
          </c:tx>
          <c:marker>
            <c:symbol val="none"/>
          </c:marker>
          <c:cat>
            <c:strRef>
              <c:f>cpc!$B$59:$Y$59</c:f>
              <c:strCache>
                <c:ptCount val="24"/>
                <c:pt idx="0">
                  <c:v>2011-09</c:v>
                </c:pt>
                <c:pt idx="1">
                  <c:v>2011-10</c:v>
                </c:pt>
                <c:pt idx="2">
                  <c:v>2011-11</c:v>
                </c:pt>
                <c:pt idx="3">
                  <c:v>2011-12</c:v>
                </c:pt>
                <c:pt idx="4">
                  <c:v>2012-01</c:v>
                </c:pt>
                <c:pt idx="5">
                  <c:v>2012-02</c:v>
                </c:pt>
                <c:pt idx="6">
                  <c:v>2012-03</c:v>
                </c:pt>
                <c:pt idx="7">
                  <c:v>2012-04</c:v>
                </c:pt>
                <c:pt idx="8">
                  <c:v>2012-06</c:v>
                </c:pt>
                <c:pt idx="9">
                  <c:v>2012-07</c:v>
                </c:pt>
                <c:pt idx="10">
                  <c:v>2012-08</c:v>
                </c:pt>
                <c:pt idx="11">
                  <c:v>2012-09</c:v>
                </c:pt>
                <c:pt idx="12">
                  <c:v>2012-10</c:v>
                </c:pt>
                <c:pt idx="13">
                  <c:v>2012-11</c:v>
                </c:pt>
                <c:pt idx="14">
                  <c:v>2012-12</c:v>
                </c:pt>
                <c:pt idx="15">
                  <c:v>2013-01</c:v>
                </c:pt>
                <c:pt idx="16">
                  <c:v>2013-02</c:v>
                </c:pt>
                <c:pt idx="17">
                  <c:v>2013-03</c:v>
                </c:pt>
                <c:pt idx="18">
                  <c:v>2013-04</c:v>
                </c:pt>
                <c:pt idx="19">
                  <c:v>2013-05</c:v>
                </c:pt>
                <c:pt idx="20">
                  <c:v>2013-06</c:v>
                </c:pt>
                <c:pt idx="21">
                  <c:v>2013-07</c:v>
                </c:pt>
                <c:pt idx="22">
                  <c:v>2013-08</c:v>
                </c:pt>
                <c:pt idx="23">
                  <c:v>2013-09</c:v>
                </c:pt>
              </c:strCache>
            </c:strRef>
          </c:cat>
          <c:val>
            <c:numRef>
              <c:f>cpc!$B$67:$Y$67</c:f>
              <c:numCache>
                <c:formatCode>#,##0\ "Kč"</c:formatCode>
                <c:ptCount val="24"/>
                <c:pt idx="0">
                  <c:v>557429.64835633046</c:v>
                </c:pt>
                <c:pt idx="1">
                  <c:v>397402.55483142432</c:v>
                </c:pt>
                <c:pt idx="2">
                  <c:v>750916.44958165602</c:v>
                </c:pt>
                <c:pt idx="3">
                  <c:v>960209.39956918347</c:v>
                </c:pt>
                <c:pt idx="4">
                  <c:v>927028.84495646087</c:v>
                </c:pt>
                <c:pt idx="5">
                  <c:v>610384.79570101888</c:v>
                </c:pt>
                <c:pt idx="6">
                  <c:v>721664.10491953394</c:v>
                </c:pt>
                <c:pt idx="7">
                  <c:v>548143.77391280246</c:v>
                </c:pt>
                <c:pt idx="8">
                  <c:v>1261764.0066216362</c:v>
                </c:pt>
                <c:pt idx="9">
                  <c:v>988486.72275993647</c:v>
                </c:pt>
                <c:pt idx="10">
                  <c:v>759108.89882208372</c:v>
                </c:pt>
                <c:pt idx="11">
                  <c:v>644394.23813437903</c:v>
                </c:pt>
                <c:pt idx="12">
                  <c:v>928076.21182083641</c:v>
                </c:pt>
                <c:pt idx="13">
                  <c:v>819341.43769855134</c:v>
                </c:pt>
                <c:pt idx="14">
                  <c:v>1193421.9029055447</c:v>
                </c:pt>
                <c:pt idx="15">
                  <c:v>973140.786565291</c:v>
                </c:pt>
                <c:pt idx="16">
                  <c:v>620556.9135161743</c:v>
                </c:pt>
                <c:pt idx="17">
                  <c:v>489186.96673180716</c:v>
                </c:pt>
                <c:pt idx="18">
                  <c:v>700749.44504731591</c:v>
                </c:pt>
                <c:pt idx="19">
                  <c:v>710540.41660737817</c:v>
                </c:pt>
                <c:pt idx="20">
                  <c:v>701384.98679531273</c:v>
                </c:pt>
                <c:pt idx="21">
                  <c:v>1350828.154882709</c:v>
                </c:pt>
                <c:pt idx="22">
                  <c:v>1102837.2112663176</c:v>
                </c:pt>
                <c:pt idx="23">
                  <c:v>604963.86071667739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cpc!$A$72</c:f>
              <c:strCache>
                <c:ptCount val="1"/>
                <c:pt idx="0">
                  <c:v>sklik - Obrat</c:v>
                </c:pt>
              </c:strCache>
            </c:strRef>
          </c:tx>
          <c:marker>
            <c:symbol val="none"/>
          </c:marker>
          <c:cat>
            <c:strRef>
              <c:f>cpc!$B$59:$Y$59</c:f>
              <c:strCache>
                <c:ptCount val="24"/>
                <c:pt idx="0">
                  <c:v>2011-09</c:v>
                </c:pt>
                <c:pt idx="1">
                  <c:v>2011-10</c:v>
                </c:pt>
                <c:pt idx="2">
                  <c:v>2011-11</c:v>
                </c:pt>
                <c:pt idx="3">
                  <c:v>2011-12</c:v>
                </c:pt>
                <c:pt idx="4">
                  <c:v>2012-01</c:v>
                </c:pt>
                <c:pt idx="5">
                  <c:v>2012-02</c:v>
                </c:pt>
                <c:pt idx="6">
                  <c:v>2012-03</c:v>
                </c:pt>
                <c:pt idx="7">
                  <c:v>2012-04</c:v>
                </c:pt>
                <c:pt idx="8">
                  <c:v>2012-06</c:v>
                </c:pt>
                <c:pt idx="9">
                  <c:v>2012-07</c:v>
                </c:pt>
                <c:pt idx="10">
                  <c:v>2012-08</c:v>
                </c:pt>
                <c:pt idx="11">
                  <c:v>2012-09</c:v>
                </c:pt>
                <c:pt idx="12">
                  <c:v>2012-10</c:v>
                </c:pt>
                <c:pt idx="13">
                  <c:v>2012-11</c:v>
                </c:pt>
                <c:pt idx="14">
                  <c:v>2012-12</c:v>
                </c:pt>
                <c:pt idx="15">
                  <c:v>2013-01</c:v>
                </c:pt>
                <c:pt idx="16">
                  <c:v>2013-02</c:v>
                </c:pt>
                <c:pt idx="17">
                  <c:v>2013-03</c:v>
                </c:pt>
                <c:pt idx="18">
                  <c:v>2013-04</c:v>
                </c:pt>
                <c:pt idx="19">
                  <c:v>2013-05</c:v>
                </c:pt>
                <c:pt idx="20">
                  <c:v>2013-06</c:v>
                </c:pt>
                <c:pt idx="21">
                  <c:v>2013-07</c:v>
                </c:pt>
                <c:pt idx="22">
                  <c:v>2013-08</c:v>
                </c:pt>
                <c:pt idx="23">
                  <c:v>2013-09</c:v>
                </c:pt>
              </c:strCache>
            </c:strRef>
          </c:cat>
          <c:val>
            <c:numRef>
              <c:f>cpc!$B$72:$Y$72</c:f>
              <c:numCache>
                <c:formatCode>#,##0\ "Kč"</c:formatCode>
                <c:ptCount val="24"/>
                <c:pt idx="0">
                  <c:v>430119.51000535727</c:v>
                </c:pt>
                <c:pt idx="1">
                  <c:v>354106.10758532258</c:v>
                </c:pt>
                <c:pt idx="2">
                  <c:v>787996.02274827613</c:v>
                </c:pt>
                <c:pt idx="3">
                  <c:v>925360.88202492974</c:v>
                </c:pt>
                <c:pt idx="4">
                  <c:v>669001.9076268624</c:v>
                </c:pt>
                <c:pt idx="5">
                  <c:v>546088.71620188362</c:v>
                </c:pt>
                <c:pt idx="6">
                  <c:v>487045.47852397105</c:v>
                </c:pt>
                <c:pt idx="7">
                  <c:v>345608.49237162486</c:v>
                </c:pt>
                <c:pt idx="8">
                  <c:v>383240.74242425594</c:v>
                </c:pt>
                <c:pt idx="9">
                  <c:v>416840.08878900856</c:v>
                </c:pt>
                <c:pt idx="10">
                  <c:v>297465.81743281276</c:v>
                </c:pt>
                <c:pt idx="11">
                  <c:v>205084.86259392038</c:v>
                </c:pt>
                <c:pt idx="12">
                  <c:v>341590.96101475932</c:v>
                </c:pt>
                <c:pt idx="13">
                  <c:v>551539.14714779856</c:v>
                </c:pt>
                <c:pt idx="14">
                  <c:v>370121.15230578947</c:v>
                </c:pt>
                <c:pt idx="15">
                  <c:v>439017.41165727377</c:v>
                </c:pt>
                <c:pt idx="16">
                  <c:v>159726.98344693365</c:v>
                </c:pt>
                <c:pt idx="17">
                  <c:v>299674.67431449681</c:v>
                </c:pt>
                <c:pt idx="18">
                  <c:v>243092.8264555372</c:v>
                </c:pt>
                <c:pt idx="19">
                  <c:v>324644.71972963912</c:v>
                </c:pt>
                <c:pt idx="20">
                  <c:v>386219.21635367454</c:v>
                </c:pt>
                <c:pt idx="21">
                  <c:v>672639.74559438019</c:v>
                </c:pt>
                <c:pt idx="22">
                  <c:v>492004.70981899247</c:v>
                </c:pt>
                <c:pt idx="23">
                  <c:v>424715.26572370017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858240"/>
        <c:axId val="143259840"/>
      </c:lineChart>
      <c:catAx>
        <c:axId val="142858240"/>
        <c:scaling>
          <c:orientation val="minMax"/>
        </c:scaling>
        <c:delete val="0"/>
        <c:axPos val="b"/>
        <c:majorTickMark val="none"/>
        <c:minorTickMark val="none"/>
        <c:tickLblPos val="nextTo"/>
        <c:crossAx val="143259840"/>
        <c:crosses val="autoZero"/>
        <c:auto val="1"/>
        <c:lblAlgn val="ctr"/>
        <c:lblOffset val="100"/>
        <c:noMultiLvlLbl val="0"/>
      </c:catAx>
      <c:valAx>
        <c:axId val="143259840"/>
        <c:scaling>
          <c:orientation val="minMax"/>
        </c:scaling>
        <c:delete val="0"/>
        <c:axPos val="l"/>
        <c:majorGridlines/>
        <c:numFmt formatCode="#,##0\ &quot;Kč&quot;" sourceLinked="1"/>
        <c:majorTickMark val="none"/>
        <c:minorTickMark val="none"/>
        <c:tickLblPos val="nextTo"/>
        <c:spPr>
          <a:ln w="9525">
            <a:noFill/>
          </a:ln>
        </c:spPr>
        <c:crossAx val="14285824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Konverzní</a:t>
            </a:r>
            <a:r>
              <a:rPr lang="cs-CZ" baseline="0"/>
              <a:t> poměr</a:t>
            </a:r>
            <a:r>
              <a:rPr lang="cs-CZ"/>
              <a:t> PPC - sklik vs. AdWords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cpc!$A$63</c:f>
              <c:strCache>
                <c:ptCount val="1"/>
                <c:pt idx="0">
                  <c:v>cpc - KP</c:v>
                </c:pt>
              </c:strCache>
            </c:strRef>
          </c:tx>
          <c:marker>
            <c:symbol val="none"/>
          </c:marker>
          <c:cat>
            <c:strRef>
              <c:f>cpc!$B$59:$Y$59</c:f>
              <c:strCache>
                <c:ptCount val="24"/>
                <c:pt idx="0">
                  <c:v>2011-09</c:v>
                </c:pt>
                <c:pt idx="1">
                  <c:v>2011-10</c:v>
                </c:pt>
                <c:pt idx="2">
                  <c:v>2011-11</c:v>
                </c:pt>
                <c:pt idx="3">
                  <c:v>2011-12</c:v>
                </c:pt>
                <c:pt idx="4">
                  <c:v>2012-01</c:v>
                </c:pt>
                <c:pt idx="5">
                  <c:v>2012-02</c:v>
                </c:pt>
                <c:pt idx="6">
                  <c:v>2012-03</c:v>
                </c:pt>
                <c:pt idx="7">
                  <c:v>2012-04</c:v>
                </c:pt>
                <c:pt idx="8">
                  <c:v>2012-06</c:v>
                </c:pt>
                <c:pt idx="9">
                  <c:v>2012-07</c:v>
                </c:pt>
                <c:pt idx="10">
                  <c:v>2012-08</c:v>
                </c:pt>
                <c:pt idx="11">
                  <c:v>2012-09</c:v>
                </c:pt>
                <c:pt idx="12">
                  <c:v>2012-10</c:v>
                </c:pt>
                <c:pt idx="13">
                  <c:v>2012-11</c:v>
                </c:pt>
                <c:pt idx="14">
                  <c:v>2012-12</c:v>
                </c:pt>
                <c:pt idx="15">
                  <c:v>2013-01</c:v>
                </c:pt>
                <c:pt idx="16">
                  <c:v>2013-02</c:v>
                </c:pt>
                <c:pt idx="17">
                  <c:v>2013-03</c:v>
                </c:pt>
                <c:pt idx="18">
                  <c:v>2013-04</c:v>
                </c:pt>
                <c:pt idx="19">
                  <c:v>2013-05</c:v>
                </c:pt>
                <c:pt idx="20">
                  <c:v>2013-06</c:v>
                </c:pt>
                <c:pt idx="21">
                  <c:v>2013-07</c:v>
                </c:pt>
                <c:pt idx="22">
                  <c:v>2013-08</c:v>
                </c:pt>
                <c:pt idx="23">
                  <c:v>2013-09</c:v>
                </c:pt>
              </c:strCache>
            </c:strRef>
          </c:cat>
          <c:val>
            <c:numRef>
              <c:f>cpc!$B$63:$Y$63</c:f>
              <c:numCache>
                <c:formatCode>0.00%</c:formatCode>
                <c:ptCount val="24"/>
                <c:pt idx="0">
                  <c:v>1.5149985328460272E-2</c:v>
                </c:pt>
                <c:pt idx="1">
                  <c:v>1.1244521840237564E-2</c:v>
                </c:pt>
                <c:pt idx="2">
                  <c:v>1.179574112207094E-2</c:v>
                </c:pt>
                <c:pt idx="3">
                  <c:v>2.3270652000227925E-2</c:v>
                </c:pt>
                <c:pt idx="4">
                  <c:v>2.0426007277820946E-2</c:v>
                </c:pt>
                <c:pt idx="5">
                  <c:v>1.2995434203378774E-2</c:v>
                </c:pt>
                <c:pt idx="6">
                  <c:v>8.8662834008418172E-3</c:v>
                </c:pt>
                <c:pt idx="7">
                  <c:v>1.4383656801299896E-2</c:v>
                </c:pt>
                <c:pt idx="8">
                  <c:v>1.728639438640411E-2</c:v>
                </c:pt>
                <c:pt idx="9">
                  <c:v>2.5168516514367995E-2</c:v>
                </c:pt>
                <c:pt idx="10">
                  <c:v>1.2956474308453324E-2</c:v>
                </c:pt>
                <c:pt idx="11">
                  <c:v>8.6393118763591122E-3</c:v>
                </c:pt>
                <c:pt idx="12">
                  <c:v>1.4561899741010334E-2</c:v>
                </c:pt>
                <c:pt idx="13">
                  <c:v>3.1424607050461156E-2</c:v>
                </c:pt>
                <c:pt idx="14">
                  <c:v>3.3641553222387835E-2</c:v>
                </c:pt>
                <c:pt idx="15">
                  <c:v>2.6140628879225049E-2</c:v>
                </c:pt>
                <c:pt idx="16">
                  <c:v>2.5762327970739549E-2</c:v>
                </c:pt>
                <c:pt idx="17">
                  <c:v>1.7650960402371286E-2</c:v>
                </c:pt>
                <c:pt idx="18">
                  <c:v>9.1646116388779571E-3</c:v>
                </c:pt>
                <c:pt idx="19">
                  <c:v>1.1934113186229915E-2</c:v>
                </c:pt>
                <c:pt idx="20">
                  <c:v>1.7072764783866785E-2</c:v>
                </c:pt>
                <c:pt idx="21">
                  <c:v>1.2216851235665375E-2</c:v>
                </c:pt>
                <c:pt idx="22">
                  <c:v>7.5323979571923876E-3</c:v>
                </c:pt>
                <c:pt idx="23">
                  <c:v>1.2963592160037571E-2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cpc!$A$73</c:f>
              <c:strCache>
                <c:ptCount val="1"/>
                <c:pt idx="0">
                  <c:v>sklik - KP</c:v>
                </c:pt>
              </c:strCache>
            </c:strRef>
          </c:tx>
          <c:marker>
            <c:symbol val="none"/>
          </c:marker>
          <c:cat>
            <c:strRef>
              <c:f>cpc!$B$59:$Y$59</c:f>
              <c:strCache>
                <c:ptCount val="24"/>
                <c:pt idx="0">
                  <c:v>2011-09</c:v>
                </c:pt>
                <c:pt idx="1">
                  <c:v>2011-10</c:v>
                </c:pt>
                <c:pt idx="2">
                  <c:v>2011-11</c:v>
                </c:pt>
                <c:pt idx="3">
                  <c:v>2011-12</c:v>
                </c:pt>
                <c:pt idx="4">
                  <c:v>2012-01</c:v>
                </c:pt>
                <c:pt idx="5">
                  <c:v>2012-02</c:v>
                </c:pt>
                <c:pt idx="6">
                  <c:v>2012-03</c:v>
                </c:pt>
                <c:pt idx="7">
                  <c:v>2012-04</c:v>
                </c:pt>
                <c:pt idx="8">
                  <c:v>2012-06</c:v>
                </c:pt>
                <c:pt idx="9">
                  <c:v>2012-07</c:v>
                </c:pt>
                <c:pt idx="10">
                  <c:v>2012-08</c:v>
                </c:pt>
                <c:pt idx="11">
                  <c:v>2012-09</c:v>
                </c:pt>
                <c:pt idx="12">
                  <c:v>2012-10</c:v>
                </c:pt>
                <c:pt idx="13">
                  <c:v>2012-11</c:v>
                </c:pt>
                <c:pt idx="14">
                  <c:v>2012-12</c:v>
                </c:pt>
                <c:pt idx="15">
                  <c:v>2013-01</c:v>
                </c:pt>
                <c:pt idx="16">
                  <c:v>2013-02</c:v>
                </c:pt>
                <c:pt idx="17">
                  <c:v>2013-03</c:v>
                </c:pt>
                <c:pt idx="18">
                  <c:v>2013-04</c:v>
                </c:pt>
                <c:pt idx="19">
                  <c:v>2013-05</c:v>
                </c:pt>
                <c:pt idx="20">
                  <c:v>2013-06</c:v>
                </c:pt>
                <c:pt idx="21">
                  <c:v>2013-07</c:v>
                </c:pt>
                <c:pt idx="22">
                  <c:v>2013-08</c:v>
                </c:pt>
                <c:pt idx="23">
                  <c:v>2013-09</c:v>
                </c:pt>
              </c:strCache>
            </c:strRef>
          </c:cat>
          <c:val>
            <c:numRef>
              <c:f>cpc!$B$73:$Y$73</c:f>
              <c:numCache>
                <c:formatCode>0.00%</c:formatCode>
                <c:ptCount val="24"/>
                <c:pt idx="0">
                  <c:v>1.8742198643832354E-2</c:v>
                </c:pt>
                <c:pt idx="1">
                  <c:v>1.5658414298106955E-2</c:v>
                </c:pt>
                <c:pt idx="2">
                  <c:v>1.8975945222158685E-2</c:v>
                </c:pt>
                <c:pt idx="3">
                  <c:v>1.4415782909076786E-2</c:v>
                </c:pt>
                <c:pt idx="4">
                  <c:v>9.68776670569786E-3</c:v>
                </c:pt>
                <c:pt idx="5">
                  <c:v>6.5049941672370047E-3</c:v>
                </c:pt>
                <c:pt idx="6">
                  <c:v>9.0479524561929425E-3</c:v>
                </c:pt>
                <c:pt idx="7">
                  <c:v>1.1689476056409054E-2</c:v>
                </c:pt>
                <c:pt idx="8">
                  <c:v>1.5995761381091683E-2</c:v>
                </c:pt>
                <c:pt idx="9">
                  <c:v>1.2893988499113926E-2</c:v>
                </c:pt>
                <c:pt idx="10">
                  <c:v>1.720389638077224E-2</c:v>
                </c:pt>
                <c:pt idx="11">
                  <c:v>1.4538022506292967E-2</c:v>
                </c:pt>
                <c:pt idx="12">
                  <c:v>2.0019061945481937E-2</c:v>
                </c:pt>
                <c:pt idx="13">
                  <c:v>2.6029612628513197E-2</c:v>
                </c:pt>
                <c:pt idx="14">
                  <c:v>2.274859675196059E-2</c:v>
                </c:pt>
                <c:pt idx="15">
                  <c:v>2.146640274819487E-2</c:v>
                </c:pt>
                <c:pt idx="16">
                  <c:v>1.3040372998566483E-2</c:v>
                </c:pt>
                <c:pt idx="17">
                  <c:v>1.6234668243975871E-2</c:v>
                </c:pt>
                <c:pt idx="18">
                  <c:v>1.0909557368322909E-2</c:v>
                </c:pt>
                <c:pt idx="19">
                  <c:v>5.4320018543315704E-3</c:v>
                </c:pt>
                <c:pt idx="20">
                  <c:v>9.0853177108208404E-3</c:v>
                </c:pt>
                <c:pt idx="21">
                  <c:v>7.3852346020620756E-3</c:v>
                </c:pt>
                <c:pt idx="22">
                  <c:v>8.9545430209522856E-3</c:v>
                </c:pt>
                <c:pt idx="23">
                  <c:v>1.0477029898105204E-2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859776"/>
        <c:axId val="146309696"/>
      </c:lineChart>
      <c:catAx>
        <c:axId val="142859776"/>
        <c:scaling>
          <c:orientation val="minMax"/>
        </c:scaling>
        <c:delete val="0"/>
        <c:axPos val="b"/>
        <c:majorTickMark val="none"/>
        <c:minorTickMark val="none"/>
        <c:tickLblPos val="nextTo"/>
        <c:crossAx val="146309696"/>
        <c:crosses val="autoZero"/>
        <c:auto val="1"/>
        <c:lblAlgn val="ctr"/>
        <c:lblOffset val="100"/>
        <c:noMultiLvlLbl val="0"/>
      </c:catAx>
      <c:valAx>
        <c:axId val="146309696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spPr>
          <a:ln w="9525">
            <a:noFill/>
          </a:ln>
        </c:spPr>
        <c:crossAx val="14285977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Cena </a:t>
            </a:r>
            <a:r>
              <a:rPr lang="cs-CZ"/>
              <a:t>za</a:t>
            </a:r>
            <a:r>
              <a:rPr lang="cs-CZ" baseline="0"/>
              <a:t> konverzi</a:t>
            </a:r>
            <a:r>
              <a:rPr lang="cs-CZ"/>
              <a:t> - sklik vs. AdWords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cpc!$A$82</c:f>
              <c:strCache>
                <c:ptCount val="1"/>
                <c:pt idx="0">
                  <c:v>AdWords-cena za konv.</c:v>
                </c:pt>
              </c:strCache>
            </c:strRef>
          </c:tx>
          <c:marker>
            <c:symbol val="none"/>
          </c:marker>
          <c:cat>
            <c:strRef>
              <c:f>cpc!$B$59:$Y$59</c:f>
              <c:strCache>
                <c:ptCount val="24"/>
                <c:pt idx="0">
                  <c:v>2011-09</c:v>
                </c:pt>
                <c:pt idx="1">
                  <c:v>2011-10</c:v>
                </c:pt>
                <c:pt idx="2">
                  <c:v>2011-11</c:v>
                </c:pt>
                <c:pt idx="3">
                  <c:v>2011-12</c:v>
                </c:pt>
                <c:pt idx="4">
                  <c:v>2012-01</c:v>
                </c:pt>
                <c:pt idx="5">
                  <c:v>2012-02</c:v>
                </c:pt>
                <c:pt idx="6">
                  <c:v>2012-03</c:v>
                </c:pt>
                <c:pt idx="7">
                  <c:v>2012-04</c:v>
                </c:pt>
                <c:pt idx="8">
                  <c:v>2012-06</c:v>
                </c:pt>
                <c:pt idx="9">
                  <c:v>2012-07</c:v>
                </c:pt>
                <c:pt idx="10">
                  <c:v>2012-08</c:v>
                </c:pt>
                <c:pt idx="11">
                  <c:v>2012-09</c:v>
                </c:pt>
                <c:pt idx="12">
                  <c:v>2012-10</c:v>
                </c:pt>
                <c:pt idx="13">
                  <c:v>2012-11</c:v>
                </c:pt>
                <c:pt idx="14">
                  <c:v>2012-12</c:v>
                </c:pt>
                <c:pt idx="15">
                  <c:v>2013-01</c:v>
                </c:pt>
                <c:pt idx="16">
                  <c:v>2013-02</c:v>
                </c:pt>
                <c:pt idx="17">
                  <c:v>2013-03</c:v>
                </c:pt>
                <c:pt idx="18">
                  <c:v>2013-04</c:v>
                </c:pt>
                <c:pt idx="19">
                  <c:v>2013-05</c:v>
                </c:pt>
                <c:pt idx="20">
                  <c:v>2013-06</c:v>
                </c:pt>
                <c:pt idx="21">
                  <c:v>2013-07</c:v>
                </c:pt>
                <c:pt idx="22">
                  <c:v>2013-08</c:v>
                </c:pt>
                <c:pt idx="23">
                  <c:v>2013-09</c:v>
                </c:pt>
              </c:strCache>
            </c:strRef>
          </c:cat>
          <c:val>
            <c:numRef>
              <c:f>cpc!$B$82:$Y$82</c:f>
              <c:numCache>
                <c:formatCode>#,##0\ "Kč"</c:formatCode>
                <c:ptCount val="24"/>
                <c:pt idx="0">
                  <c:v>78.072815385749507</c:v>
                </c:pt>
                <c:pt idx="1">
                  <c:v>91.700441984168592</c:v>
                </c:pt>
                <c:pt idx="2">
                  <c:v>82.174868240082276</c:v>
                </c:pt>
                <c:pt idx="3">
                  <c:v>96.603310146288848</c:v>
                </c:pt>
                <c:pt idx="4">
                  <c:v>92.963670125347818</c:v>
                </c:pt>
                <c:pt idx="5">
                  <c:v>100.47673203725775</c:v>
                </c:pt>
                <c:pt idx="6">
                  <c:v>94.634986964280131</c:v>
                </c:pt>
                <c:pt idx="7">
                  <c:v>136.69365640269123</c:v>
                </c:pt>
                <c:pt idx="8">
                  <c:v>112.34019300339038</c:v>
                </c:pt>
                <c:pt idx="9">
                  <c:v>140.06714912186661</c:v>
                </c:pt>
                <c:pt idx="10">
                  <c:v>57.716253981338511</c:v>
                </c:pt>
                <c:pt idx="11">
                  <c:v>148.03931598747042</c:v>
                </c:pt>
                <c:pt idx="12">
                  <c:v>81.726201209704158</c:v>
                </c:pt>
                <c:pt idx="13">
                  <c:v>92.258502530415811</c:v>
                </c:pt>
                <c:pt idx="14">
                  <c:v>104.62990412649124</c:v>
                </c:pt>
                <c:pt idx="15">
                  <c:v>155.7126207831341</c:v>
                </c:pt>
                <c:pt idx="16">
                  <c:v>115.99326949737288</c:v>
                </c:pt>
                <c:pt idx="17">
                  <c:v>383.00522231532233</c:v>
                </c:pt>
                <c:pt idx="18">
                  <c:v>162.34283288217327</c:v>
                </c:pt>
                <c:pt idx="19">
                  <c:v>100.98212616988808</c:v>
                </c:pt>
                <c:pt idx="20">
                  <c:v>199.3373509508736</c:v>
                </c:pt>
                <c:pt idx="21">
                  <c:v>130.06409311140152</c:v>
                </c:pt>
                <c:pt idx="22">
                  <c:v>97.769121857496586</c:v>
                </c:pt>
                <c:pt idx="23">
                  <c:v>89.498099690771696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cpc!$A$84</c:f>
              <c:strCache>
                <c:ptCount val="1"/>
                <c:pt idx="0">
                  <c:v>Sklik-cena za konv.</c:v>
                </c:pt>
              </c:strCache>
            </c:strRef>
          </c:tx>
          <c:marker>
            <c:symbol val="none"/>
          </c:marker>
          <c:cat>
            <c:strRef>
              <c:f>cpc!$B$59:$Y$59</c:f>
              <c:strCache>
                <c:ptCount val="24"/>
                <c:pt idx="0">
                  <c:v>2011-09</c:v>
                </c:pt>
                <c:pt idx="1">
                  <c:v>2011-10</c:v>
                </c:pt>
                <c:pt idx="2">
                  <c:v>2011-11</c:v>
                </c:pt>
                <c:pt idx="3">
                  <c:v>2011-12</c:v>
                </c:pt>
                <c:pt idx="4">
                  <c:v>2012-01</c:v>
                </c:pt>
                <c:pt idx="5">
                  <c:v>2012-02</c:v>
                </c:pt>
                <c:pt idx="6">
                  <c:v>2012-03</c:v>
                </c:pt>
                <c:pt idx="7">
                  <c:v>2012-04</c:v>
                </c:pt>
                <c:pt idx="8">
                  <c:v>2012-06</c:v>
                </c:pt>
                <c:pt idx="9">
                  <c:v>2012-07</c:v>
                </c:pt>
                <c:pt idx="10">
                  <c:v>2012-08</c:v>
                </c:pt>
                <c:pt idx="11">
                  <c:v>2012-09</c:v>
                </c:pt>
                <c:pt idx="12">
                  <c:v>2012-10</c:v>
                </c:pt>
                <c:pt idx="13">
                  <c:v>2012-11</c:v>
                </c:pt>
                <c:pt idx="14">
                  <c:v>2012-12</c:v>
                </c:pt>
                <c:pt idx="15">
                  <c:v>2013-01</c:v>
                </c:pt>
                <c:pt idx="16">
                  <c:v>2013-02</c:v>
                </c:pt>
                <c:pt idx="17">
                  <c:v>2013-03</c:v>
                </c:pt>
                <c:pt idx="18">
                  <c:v>2013-04</c:v>
                </c:pt>
                <c:pt idx="19">
                  <c:v>2013-05</c:v>
                </c:pt>
                <c:pt idx="20">
                  <c:v>2013-06</c:v>
                </c:pt>
                <c:pt idx="21">
                  <c:v>2013-07</c:v>
                </c:pt>
                <c:pt idx="22">
                  <c:v>2013-08</c:v>
                </c:pt>
                <c:pt idx="23">
                  <c:v>2013-09</c:v>
                </c:pt>
              </c:strCache>
            </c:strRef>
          </c:cat>
          <c:val>
            <c:numRef>
              <c:f>cpc!$B$84:$Y$84</c:f>
              <c:numCache>
                <c:formatCode>#,##0\ "Kč"</c:formatCode>
                <c:ptCount val="24"/>
                <c:pt idx="0">
                  <c:v>94.192238504858068</c:v>
                </c:pt>
                <c:pt idx="1">
                  <c:v>111.25225461768714</c:v>
                </c:pt>
                <c:pt idx="2">
                  <c:v>142.54440643675881</c:v>
                </c:pt>
                <c:pt idx="3">
                  <c:v>87.023808068228391</c:v>
                </c:pt>
                <c:pt idx="4">
                  <c:v>200.72700263617952</c:v>
                </c:pt>
                <c:pt idx="5">
                  <c:v>242.12227554646552</c:v>
                </c:pt>
                <c:pt idx="6">
                  <c:v>172.99680772975046</c:v>
                </c:pt>
                <c:pt idx="7">
                  <c:v>144.42600460991878</c:v>
                </c:pt>
                <c:pt idx="8">
                  <c:v>108.76082656781252</c:v>
                </c:pt>
                <c:pt idx="9">
                  <c:v>97.394876926594165</c:v>
                </c:pt>
                <c:pt idx="10">
                  <c:v>86.40010984656621</c:v>
                </c:pt>
                <c:pt idx="11">
                  <c:v>162.03275064803293</c:v>
                </c:pt>
                <c:pt idx="12">
                  <c:v>112.06693391194219</c:v>
                </c:pt>
                <c:pt idx="13">
                  <c:v>49.691552492464062</c:v>
                </c:pt>
                <c:pt idx="14">
                  <c:v>66.239003395319443</c:v>
                </c:pt>
                <c:pt idx="15">
                  <c:v>169.45999094408236</c:v>
                </c:pt>
                <c:pt idx="16">
                  <c:v>108.55789058205825</c:v>
                </c:pt>
                <c:pt idx="17">
                  <c:v>181.04089661617812</c:v>
                </c:pt>
                <c:pt idx="18">
                  <c:v>182.90403574789374</c:v>
                </c:pt>
                <c:pt idx="19">
                  <c:v>344.54943670817494</c:v>
                </c:pt>
                <c:pt idx="20">
                  <c:v>137.5234204383232</c:v>
                </c:pt>
                <c:pt idx="21">
                  <c:v>141.10002154350087</c:v>
                </c:pt>
                <c:pt idx="22">
                  <c:v>126.34710963117644</c:v>
                </c:pt>
                <c:pt idx="23">
                  <c:v>221.54218884243687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32000"/>
        <c:axId val="146312000"/>
      </c:lineChart>
      <c:catAx>
        <c:axId val="146432000"/>
        <c:scaling>
          <c:orientation val="minMax"/>
        </c:scaling>
        <c:delete val="0"/>
        <c:axPos val="b"/>
        <c:majorTickMark val="none"/>
        <c:minorTickMark val="none"/>
        <c:tickLblPos val="nextTo"/>
        <c:crossAx val="146312000"/>
        <c:crosses val="autoZero"/>
        <c:auto val="1"/>
        <c:lblAlgn val="ctr"/>
        <c:lblOffset val="100"/>
        <c:noMultiLvlLbl val="0"/>
      </c:catAx>
      <c:valAx>
        <c:axId val="146312000"/>
        <c:scaling>
          <c:orientation val="minMax"/>
        </c:scaling>
        <c:delete val="0"/>
        <c:axPos val="l"/>
        <c:majorGridlines/>
        <c:numFmt formatCode="#,##0\ &quot;Kč&quot;" sourceLinked="1"/>
        <c:majorTickMark val="none"/>
        <c:minorTickMark val="none"/>
        <c:tickLblPos val="nextTo"/>
        <c:spPr>
          <a:ln w="9525">
            <a:noFill/>
          </a:ln>
        </c:spPr>
        <c:crossAx val="14643200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Podíl nákladů na obratu - sklik vs. AdWords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cpc!$A$83</c:f>
              <c:strCache>
                <c:ptCount val="1"/>
                <c:pt idx="0">
                  <c:v>AdWords-podíl nákl. na obratu</c:v>
                </c:pt>
              </c:strCache>
            </c:strRef>
          </c:tx>
          <c:marker>
            <c:symbol val="none"/>
          </c:marker>
          <c:cat>
            <c:strRef>
              <c:f>cpc!$B$59:$Y$59</c:f>
              <c:strCache>
                <c:ptCount val="24"/>
                <c:pt idx="0">
                  <c:v>2011-09</c:v>
                </c:pt>
                <c:pt idx="1">
                  <c:v>2011-10</c:v>
                </c:pt>
                <c:pt idx="2">
                  <c:v>2011-11</c:v>
                </c:pt>
                <c:pt idx="3">
                  <c:v>2011-12</c:v>
                </c:pt>
                <c:pt idx="4">
                  <c:v>2012-01</c:v>
                </c:pt>
                <c:pt idx="5">
                  <c:v>2012-02</c:v>
                </c:pt>
                <c:pt idx="6">
                  <c:v>2012-03</c:v>
                </c:pt>
                <c:pt idx="7">
                  <c:v>2012-04</c:v>
                </c:pt>
                <c:pt idx="8">
                  <c:v>2012-06</c:v>
                </c:pt>
                <c:pt idx="9">
                  <c:v>2012-07</c:v>
                </c:pt>
                <c:pt idx="10">
                  <c:v>2012-08</c:v>
                </c:pt>
                <c:pt idx="11">
                  <c:v>2012-09</c:v>
                </c:pt>
                <c:pt idx="12">
                  <c:v>2012-10</c:v>
                </c:pt>
                <c:pt idx="13">
                  <c:v>2012-11</c:v>
                </c:pt>
                <c:pt idx="14">
                  <c:v>2012-12</c:v>
                </c:pt>
                <c:pt idx="15">
                  <c:v>2013-01</c:v>
                </c:pt>
                <c:pt idx="16">
                  <c:v>2013-02</c:v>
                </c:pt>
                <c:pt idx="17">
                  <c:v>2013-03</c:v>
                </c:pt>
                <c:pt idx="18">
                  <c:v>2013-04</c:v>
                </c:pt>
                <c:pt idx="19">
                  <c:v>2013-05</c:v>
                </c:pt>
                <c:pt idx="20">
                  <c:v>2013-06</c:v>
                </c:pt>
                <c:pt idx="21">
                  <c:v>2013-07</c:v>
                </c:pt>
                <c:pt idx="22">
                  <c:v>2013-08</c:v>
                </c:pt>
                <c:pt idx="23">
                  <c:v>2013-09</c:v>
                </c:pt>
              </c:strCache>
            </c:strRef>
          </c:cat>
          <c:val>
            <c:numRef>
              <c:f>cpc!$B$83:$Y$83</c:f>
              <c:numCache>
                <c:formatCode>0.00%</c:formatCode>
                <c:ptCount val="24"/>
                <c:pt idx="0">
                  <c:v>6.7169681064464984E-2</c:v>
                </c:pt>
                <c:pt idx="1">
                  <c:v>0.15004336266559293</c:v>
                </c:pt>
                <c:pt idx="2">
                  <c:v>0.11787860452662653</c:v>
                </c:pt>
                <c:pt idx="3">
                  <c:v>0.12017452712725388</c:v>
                </c:pt>
                <c:pt idx="4">
                  <c:v>8.5422947620943074E-2</c:v>
                </c:pt>
                <c:pt idx="5">
                  <c:v>0.18470615649353145</c:v>
                </c:pt>
                <c:pt idx="6">
                  <c:v>9.7881585037159019E-2</c:v>
                </c:pt>
                <c:pt idx="7">
                  <c:v>0.11432658442358692</c:v>
                </c:pt>
                <c:pt idx="8">
                  <c:v>6.5422716896622601E-2</c:v>
                </c:pt>
                <c:pt idx="9">
                  <c:v>8.5983673699142837E-2</c:v>
                </c:pt>
                <c:pt idx="10">
                  <c:v>6.1065764418401607E-2</c:v>
                </c:pt>
                <c:pt idx="11">
                  <c:v>0.11338638595503216</c:v>
                </c:pt>
                <c:pt idx="12">
                  <c:v>9.1557626572098164E-2</c:v>
                </c:pt>
                <c:pt idx="13">
                  <c:v>0.14645216286353963</c:v>
                </c:pt>
                <c:pt idx="14">
                  <c:v>9.2547913090622616E-2</c:v>
                </c:pt>
                <c:pt idx="15">
                  <c:v>0.13472535746055053</c:v>
                </c:pt>
                <c:pt idx="16">
                  <c:v>0.11614298330460369</c:v>
                </c:pt>
                <c:pt idx="17">
                  <c:v>0.47902846358976781</c:v>
                </c:pt>
                <c:pt idx="18">
                  <c:v>0.23186575444551746</c:v>
                </c:pt>
                <c:pt idx="19">
                  <c:v>9.8752966250766017E-2</c:v>
                </c:pt>
                <c:pt idx="20">
                  <c:v>0.17299156349236069</c:v>
                </c:pt>
                <c:pt idx="21">
                  <c:v>8.2852469360759545E-2</c:v>
                </c:pt>
                <c:pt idx="22">
                  <c:v>7.1627431403479797E-2</c:v>
                </c:pt>
                <c:pt idx="23">
                  <c:v>0.14955630779346041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cpc!$A$85</c:f>
              <c:strCache>
                <c:ptCount val="1"/>
                <c:pt idx="0">
                  <c:v>Sklik-podíl nákl. na obratu</c:v>
                </c:pt>
              </c:strCache>
            </c:strRef>
          </c:tx>
          <c:marker>
            <c:symbol val="none"/>
          </c:marker>
          <c:cat>
            <c:strRef>
              <c:f>cpc!$B$59:$Y$59</c:f>
              <c:strCache>
                <c:ptCount val="24"/>
                <c:pt idx="0">
                  <c:v>2011-09</c:v>
                </c:pt>
                <c:pt idx="1">
                  <c:v>2011-10</c:v>
                </c:pt>
                <c:pt idx="2">
                  <c:v>2011-11</c:v>
                </c:pt>
                <c:pt idx="3">
                  <c:v>2011-12</c:v>
                </c:pt>
                <c:pt idx="4">
                  <c:v>2012-01</c:v>
                </c:pt>
                <c:pt idx="5">
                  <c:v>2012-02</c:v>
                </c:pt>
                <c:pt idx="6">
                  <c:v>2012-03</c:v>
                </c:pt>
                <c:pt idx="7">
                  <c:v>2012-04</c:v>
                </c:pt>
                <c:pt idx="8">
                  <c:v>2012-06</c:v>
                </c:pt>
                <c:pt idx="9">
                  <c:v>2012-07</c:v>
                </c:pt>
                <c:pt idx="10">
                  <c:v>2012-08</c:v>
                </c:pt>
                <c:pt idx="11">
                  <c:v>2012-09</c:v>
                </c:pt>
                <c:pt idx="12">
                  <c:v>2012-10</c:v>
                </c:pt>
                <c:pt idx="13">
                  <c:v>2012-11</c:v>
                </c:pt>
                <c:pt idx="14">
                  <c:v>2012-12</c:v>
                </c:pt>
                <c:pt idx="15">
                  <c:v>2013-01</c:v>
                </c:pt>
                <c:pt idx="16">
                  <c:v>2013-02</c:v>
                </c:pt>
                <c:pt idx="17">
                  <c:v>2013-03</c:v>
                </c:pt>
                <c:pt idx="18">
                  <c:v>2013-04</c:v>
                </c:pt>
                <c:pt idx="19">
                  <c:v>2013-05</c:v>
                </c:pt>
                <c:pt idx="20">
                  <c:v>2013-06</c:v>
                </c:pt>
                <c:pt idx="21">
                  <c:v>2013-07</c:v>
                </c:pt>
                <c:pt idx="22">
                  <c:v>2013-08</c:v>
                </c:pt>
                <c:pt idx="23">
                  <c:v>2013-09</c:v>
                </c:pt>
              </c:strCache>
            </c:strRef>
          </c:cat>
          <c:val>
            <c:numRef>
              <c:f>cpc!$B$85:$Y$85</c:f>
              <c:numCache>
                <c:formatCode>0.00%</c:formatCode>
                <c:ptCount val="24"/>
                <c:pt idx="0">
                  <c:v>0.11126837703779843</c:v>
                </c:pt>
                <c:pt idx="1">
                  <c:v>0.16725868209649927</c:v>
                </c:pt>
                <c:pt idx="2">
                  <c:v>0.11677574917172218</c:v>
                </c:pt>
                <c:pt idx="3">
                  <c:v>0.10713592860535973</c:v>
                </c:pt>
                <c:pt idx="4">
                  <c:v>0.16464526215389405</c:v>
                </c:pt>
                <c:pt idx="5">
                  <c:v>0.23120753308313849</c:v>
                </c:pt>
                <c:pt idx="6">
                  <c:v>0.16661069804607184</c:v>
                </c:pt>
                <c:pt idx="7">
                  <c:v>0.16167803883217499</c:v>
                </c:pt>
                <c:pt idx="8">
                  <c:v>0.1154853073409141</c:v>
                </c:pt>
                <c:pt idx="9">
                  <c:v>0.10323335457259318</c:v>
                </c:pt>
                <c:pt idx="10">
                  <c:v>7.8542267954916797E-2</c:v>
                </c:pt>
                <c:pt idx="11">
                  <c:v>0.19632993772991347</c:v>
                </c:pt>
                <c:pt idx="12">
                  <c:v>0.1347588503144283</c:v>
                </c:pt>
                <c:pt idx="13">
                  <c:v>7.4924437761980045E-2</c:v>
                </c:pt>
                <c:pt idx="14">
                  <c:v>8.4630037613421166E-2</c:v>
                </c:pt>
                <c:pt idx="15">
                  <c:v>6.5009763109095453E-2</c:v>
                </c:pt>
                <c:pt idx="16">
                  <c:v>0.25305474941187117</c:v>
                </c:pt>
                <c:pt idx="17">
                  <c:v>0.12960396443122635</c:v>
                </c:pt>
                <c:pt idx="18">
                  <c:v>0.15237741984978048</c:v>
                </c:pt>
                <c:pt idx="19">
                  <c:v>0.30977851318511956</c:v>
                </c:pt>
                <c:pt idx="20">
                  <c:v>0.16789053564309725</c:v>
                </c:pt>
                <c:pt idx="21">
                  <c:v>8.0650801583261753E-2</c:v>
                </c:pt>
                <c:pt idx="22">
                  <c:v>0.15731741526640641</c:v>
                </c:pt>
                <c:pt idx="23">
                  <c:v>0.21364364539228167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32512"/>
        <c:axId val="146314304"/>
      </c:lineChart>
      <c:catAx>
        <c:axId val="146432512"/>
        <c:scaling>
          <c:orientation val="minMax"/>
        </c:scaling>
        <c:delete val="0"/>
        <c:axPos val="b"/>
        <c:majorTickMark val="none"/>
        <c:minorTickMark val="none"/>
        <c:tickLblPos val="nextTo"/>
        <c:crossAx val="146314304"/>
        <c:crosses val="autoZero"/>
        <c:auto val="1"/>
        <c:lblAlgn val="ctr"/>
        <c:lblOffset val="100"/>
        <c:noMultiLvlLbl val="0"/>
      </c:catAx>
      <c:valAx>
        <c:axId val="146314304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spPr>
          <a:ln w="9525">
            <a:noFill/>
          </a:ln>
        </c:spPr>
        <c:crossAx val="14643251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Průměrná cena objednávky - sklik vs. AdWords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cpc!$A$69</c:f>
              <c:strCache>
                <c:ptCount val="1"/>
                <c:pt idx="0">
                  <c:v>AdWords - PCO</c:v>
                </c:pt>
              </c:strCache>
            </c:strRef>
          </c:tx>
          <c:marker>
            <c:symbol val="none"/>
          </c:marker>
          <c:cat>
            <c:strRef>
              <c:f>cpc!$B$59:$Y$59</c:f>
              <c:strCache>
                <c:ptCount val="24"/>
                <c:pt idx="0">
                  <c:v>2011-09</c:v>
                </c:pt>
                <c:pt idx="1">
                  <c:v>2011-10</c:v>
                </c:pt>
                <c:pt idx="2">
                  <c:v>2011-11</c:v>
                </c:pt>
                <c:pt idx="3">
                  <c:v>2011-12</c:v>
                </c:pt>
                <c:pt idx="4">
                  <c:v>2012-01</c:v>
                </c:pt>
                <c:pt idx="5">
                  <c:v>2012-02</c:v>
                </c:pt>
                <c:pt idx="6">
                  <c:v>2012-03</c:v>
                </c:pt>
                <c:pt idx="7">
                  <c:v>2012-04</c:v>
                </c:pt>
                <c:pt idx="8">
                  <c:v>2012-06</c:v>
                </c:pt>
                <c:pt idx="9">
                  <c:v>2012-07</c:v>
                </c:pt>
                <c:pt idx="10">
                  <c:v>2012-08</c:v>
                </c:pt>
                <c:pt idx="11">
                  <c:v>2012-09</c:v>
                </c:pt>
                <c:pt idx="12">
                  <c:v>2012-10</c:v>
                </c:pt>
                <c:pt idx="13">
                  <c:v>2012-11</c:v>
                </c:pt>
                <c:pt idx="14">
                  <c:v>2012-12</c:v>
                </c:pt>
                <c:pt idx="15">
                  <c:v>2013-01</c:v>
                </c:pt>
                <c:pt idx="16">
                  <c:v>2013-02</c:v>
                </c:pt>
                <c:pt idx="17">
                  <c:v>2013-03</c:v>
                </c:pt>
                <c:pt idx="18">
                  <c:v>2013-04</c:v>
                </c:pt>
                <c:pt idx="19">
                  <c:v>2013-05</c:v>
                </c:pt>
                <c:pt idx="20">
                  <c:v>2013-06</c:v>
                </c:pt>
                <c:pt idx="21">
                  <c:v>2013-07</c:v>
                </c:pt>
                <c:pt idx="22">
                  <c:v>2013-08</c:v>
                </c:pt>
                <c:pt idx="23">
                  <c:v>2013-09</c:v>
                </c:pt>
              </c:strCache>
            </c:strRef>
          </c:cat>
          <c:val>
            <c:numRef>
              <c:f>cpc!$B$69:$Y$69</c:f>
              <c:numCache>
                <c:formatCode>#,##0\ "Kč"</c:formatCode>
                <c:ptCount val="24"/>
                <c:pt idx="0">
                  <c:v>1591.45203577245</c:v>
                </c:pt>
                <c:pt idx="1">
                  <c:v>971.46521724751835</c:v>
                </c:pt>
                <c:pt idx="2">
                  <c:v>1103.3819797524329</c:v>
                </c:pt>
                <c:pt idx="3">
                  <c:v>973.25505390241597</c:v>
                </c:pt>
                <c:pt idx="4">
                  <c:v>1595.7171913056627</c:v>
                </c:pt>
                <c:pt idx="5">
                  <c:v>909.00795986642754</c:v>
                </c:pt>
                <c:pt idx="6">
                  <c:v>1519.967458331578</c:v>
                </c:pt>
                <c:pt idx="7">
                  <c:v>1132.9613425802506</c:v>
                </c:pt>
                <c:pt idx="8">
                  <c:v>2360.4393614028977</c:v>
                </c:pt>
                <c:pt idx="9">
                  <c:v>2433.1997556913334</c:v>
                </c:pt>
                <c:pt idx="10">
                  <c:v>1301.1630695371339</c:v>
                </c:pt>
                <c:pt idx="11">
                  <c:v>1174.8348124441154</c:v>
                </c:pt>
                <c:pt idx="12">
                  <c:v>1190.1489209944261</c:v>
                </c:pt>
                <c:pt idx="13">
                  <c:v>897.77611019259348</c:v>
                </c:pt>
                <c:pt idx="14">
                  <c:v>1796.2290725139844</c:v>
                </c:pt>
                <c:pt idx="15">
                  <c:v>1693.806190183031</c:v>
                </c:pt>
                <c:pt idx="16">
                  <c:v>1513.671018785489</c:v>
                </c:pt>
                <c:pt idx="17">
                  <c:v>837.05203632463281</c:v>
                </c:pt>
                <c:pt idx="18">
                  <c:v>1129.2986557869581</c:v>
                </c:pt>
                <c:pt idx="19">
                  <c:v>1151.8315219854512</c:v>
                </c:pt>
                <c:pt idx="20">
                  <c:v>1189.9832450797273</c:v>
                </c:pt>
                <c:pt idx="21">
                  <c:v>1708.0322334897935</c:v>
                </c:pt>
                <c:pt idx="22">
                  <c:v>2211.1987993549133</c:v>
                </c:pt>
                <c:pt idx="23">
                  <c:v>1169.0782397734313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cpc!$A$74</c:f>
              <c:strCache>
                <c:ptCount val="1"/>
                <c:pt idx="0">
                  <c:v>sklik - PCO</c:v>
                </c:pt>
              </c:strCache>
            </c:strRef>
          </c:tx>
          <c:marker>
            <c:symbol val="none"/>
          </c:marker>
          <c:cat>
            <c:strRef>
              <c:f>cpc!$B$59:$Y$59</c:f>
              <c:strCache>
                <c:ptCount val="24"/>
                <c:pt idx="0">
                  <c:v>2011-09</c:v>
                </c:pt>
                <c:pt idx="1">
                  <c:v>2011-10</c:v>
                </c:pt>
                <c:pt idx="2">
                  <c:v>2011-11</c:v>
                </c:pt>
                <c:pt idx="3">
                  <c:v>2011-12</c:v>
                </c:pt>
                <c:pt idx="4">
                  <c:v>2012-01</c:v>
                </c:pt>
                <c:pt idx="5">
                  <c:v>2012-02</c:v>
                </c:pt>
                <c:pt idx="6">
                  <c:v>2012-03</c:v>
                </c:pt>
                <c:pt idx="7">
                  <c:v>2012-04</c:v>
                </c:pt>
                <c:pt idx="8">
                  <c:v>2012-06</c:v>
                </c:pt>
                <c:pt idx="9">
                  <c:v>2012-07</c:v>
                </c:pt>
                <c:pt idx="10">
                  <c:v>2012-08</c:v>
                </c:pt>
                <c:pt idx="11">
                  <c:v>2012-09</c:v>
                </c:pt>
                <c:pt idx="12">
                  <c:v>2012-10</c:v>
                </c:pt>
                <c:pt idx="13">
                  <c:v>2012-11</c:v>
                </c:pt>
                <c:pt idx="14">
                  <c:v>2012-12</c:v>
                </c:pt>
                <c:pt idx="15">
                  <c:v>2013-01</c:v>
                </c:pt>
                <c:pt idx="16">
                  <c:v>2013-02</c:v>
                </c:pt>
                <c:pt idx="17">
                  <c:v>2013-03</c:v>
                </c:pt>
                <c:pt idx="18">
                  <c:v>2013-04</c:v>
                </c:pt>
                <c:pt idx="19">
                  <c:v>2013-05</c:v>
                </c:pt>
                <c:pt idx="20">
                  <c:v>2013-06</c:v>
                </c:pt>
                <c:pt idx="21">
                  <c:v>2013-07</c:v>
                </c:pt>
                <c:pt idx="22">
                  <c:v>2013-08</c:v>
                </c:pt>
                <c:pt idx="23">
                  <c:v>2013-09</c:v>
                </c:pt>
              </c:strCache>
            </c:strRef>
          </c:cat>
          <c:val>
            <c:numRef>
              <c:f>cpc!$B$74:$Y$74</c:f>
              <c:numCache>
                <c:formatCode>#,##0\ "Kč"</c:formatCode>
                <c:ptCount val="24"/>
                <c:pt idx="0">
                  <c:v>916.95309168715426</c:v>
                </c:pt>
                <c:pt idx="1">
                  <c:v>931.67326909447138</c:v>
                </c:pt>
                <c:pt idx="2">
                  <c:v>1333.3809639455096</c:v>
                </c:pt>
                <c:pt idx="3">
                  <c:v>1365.9763046639762</c:v>
                </c:pt>
                <c:pt idx="4">
                  <c:v>1456.6216276498956</c:v>
                </c:pt>
                <c:pt idx="5">
                  <c:v>1549.6876350670864</c:v>
                </c:pt>
                <c:pt idx="6">
                  <c:v>1225.8469253976029</c:v>
                </c:pt>
                <c:pt idx="7">
                  <c:v>1646.8441614292776</c:v>
                </c:pt>
                <c:pt idx="8">
                  <c:v>2642.1618293449346</c:v>
                </c:pt>
                <c:pt idx="9">
                  <c:v>2742.860947316351</c:v>
                </c:pt>
                <c:pt idx="10">
                  <c:v>1330.6946691895068</c:v>
                </c:pt>
                <c:pt idx="11">
                  <c:v>1244.5776891382802</c:v>
                </c:pt>
                <c:pt idx="12">
                  <c:v>803.11273928170704</c:v>
                </c:pt>
                <c:pt idx="13">
                  <c:v>987.97089048258044</c:v>
                </c:pt>
                <c:pt idx="14">
                  <c:v>701.23096649909144</c:v>
                </c:pt>
                <c:pt idx="15">
                  <c:v>1176.8036319546709</c:v>
                </c:pt>
                <c:pt idx="16">
                  <c:v>879.20682720609841</c:v>
                </c:pt>
                <c:pt idx="17">
                  <c:v>1745.5244135942385</c:v>
                </c:pt>
                <c:pt idx="18">
                  <c:v>1763.2170335530284</c:v>
                </c:pt>
                <c:pt idx="19">
                  <c:v>1647.3545382935029</c:v>
                </c:pt>
                <c:pt idx="20">
                  <c:v>1273.9164026752551</c:v>
                </c:pt>
                <c:pt idx="21">
                  <c:v>2783.8174695830103</c:v>
                </c:pt>
                <c:pt idx="22">
                  <c:v>1721.1606452098004</c:v>
                </c:pt>
                <c:pt idx="23">
                  <c:v>1306.1418014396443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33024"/>
        <c:axId val="146316608"/>
      </c:lineChart>
      <c:catAx>
        <c:axId val="146433024"/>
        <c:scaling>
          <c:orientation val="minMax"/>
        </c:scaling>
        <c:delete val="0"/>
        <c:axPos val="b"/>
        <c:majorTickMark val="none"/>
        <c:minorTickMark val="none"/>
        <c:tickLblPos val="nextTo"/>
        <c:crossAx val="146316608"/>
        <c:crosses val="autoZero"/>
        <c:auto val="1"/>
        <c:lblAlgn val="ctr"/>
        <c:lblOffset val="100"/>
        <c:noMultiLvlLbl val="0"/>
      </c:catAx>
      <c:valAx>
        <c:axId val="146316608"/>
        <c:scaling>
          <c:orientation val="minMax"/>
        </c:scaling>
        <c:delete val="0"/>
        <c:axPos val="l"/>
        <c:majorGridlines/>
        <c:numFmt formatCode="#,##0\ &quot;Kč&quot;" sourceLinked="1"/>
        <c:majorTickMark val="none"/>
        <c:minorTickMark val="none"/>
        <c:tickLblPos val="nextTo"/>
        <c:spPr>
          <a:ln w="9525">
            <a:noFill/>
          </a:ln>
        </c:spPr>
        <c:crossAx val="14643302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Cena </a:t>
            </a:r>
            <a:r>
              <a:rPr lang="cs-CZ"/>
              <a:t>za</a:t>
            </a:r>
            <a:r>
              <a:rPr lang="cs-CZ" baseline="0"/>
              <a:t> transakci</a:t>
            </a:r>
            <a:r>
              <a:rPr lang="cs-CZ"/>
              <a:t> - sklik vs. AdWords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cpc!$A$86</c:f>
              <c:strCache>
                <c:ptCount val="1"/>
                <c:pt idx="0">
                  <c:v>AdWords-cena za trans.</c:v>
                </c:pt>
              </c:strCache>
            </c:strRef>
          </c:tx>
          <c:marker>
            <c:symbol val="none"/>
          </c:marker>
          <c:cat>
            <c:strRef>
              <c:f>cpc!$B$59:$Y$59</c:f>
              <c:strCache>
                <c:ptCount val="24"/>
                <c:pt idx="0">
                  <c:v>2011-09</c:v>
                </c:pt>
                <c:pt idx="1">
                  <c:v>2011-10</c:v>
                </c:pt>
                <c:pt idx="2">
                  <c:v>2011-11</c:v>
                </c:pt>
                <c:pt idx="3">
                  <c:v>2011-12</c:v>
                </c:pt>
                <c:pt idx="4">
                  <c:v>2012-01</c:v>
                </c:pt>
                <c:pt idx="5">
                  <c:v>2012-02</c:v>
                </c:pt>
                <c:pt idx="6">
                  <c:v>2012-03</c:v>
                </c:pt>
                <c:pt idx="7">
                  <c:v>2012-04</c:v>
                </c:pt>
                <c:pt idx="8">
                  <c:v>2012-06</c:v>
                </c:pt>
                <c:pt idx="9">
                  <c:v>2012-07</c:v>
                </c:pt>
                <c:pt idx="10">
                  <c:v>2012-08</c:v>
                </c:pt>
                <c:pt idx="11">
                  <c:v>2012-09</c:v>
                </c:pt>
                <c:pt idx="12">
                  <c:v>2012-10</c:v>
                </c:pt>
                <c:pt idx="13">
                  <c:v>2012-11</c:v>
                </c:pt>
                <c:pt idx="14">
                  <c:v>2012-12</c:v>
                </c:pt>
                <c:pt idx="15">
                  <c:v>2013-01</c:v>
                </c:pt>
                <c:pt idx="16">
                  <c:v>2013-02</c:v>
                </c:pt>
                <c:pt idx="17">
                  <c:v>2013-03</c:v>
                </c:pt>
                <c:pt idx="18">
                  <c:v>2013-04</c:v>
                </c:pt>
                <c:pt idx="19">
                  <c:v>2013-05</c:v>
                </c:pt>
                <c:pt idx="20">
                  <c:v>2013-06</c:v>
                </c:pt>
                <c:pt idx="21">
                  <c:v>2013-07</c:v>
                </c:pt>
                <c:pt idx="22">
                  <c:v>2013-08</c:v>
                </c:pt>
                <c:pt idx="23">
                  <c:v>2013-09</c:v>
                </c:pt>
              </c:strCache>
            </c:strRef>
          </c:cat>
          <c:val>
            <c:numRef>
              <c:f>cpc!$B$86:$Y$86</c:f>
              <c:numCache>
                <c:formatCode>#,##0\ "Kč"</c:formatCode>
                <c:ptCount val="24"/>
                <c:pt idx="0">
                  <c:v>106.89732567222897</c:v>
                </c:pt>
                <c:pt idx="1">
                  <c:v>145.76190790847843</c:v>
                </c:pt>
                <c:pt idx="2">
                  <c:v>130.06512803304329</c:v>
                </c:pt>
                <c:pt idx="3">
                  <c:v>116.96046587693282</c:v>
                </c:pt>
                <c:pt idx="4">
                  <c:v>136.31086605074202</c:v>
                </c:pt>
                <c:pt idx="5">
                  <c:v>167.89936648895414</c:v>
                </c:pt>
                <c:pt idx="6">
                  <c:v>148.77682402639678</c:v>
                </c:pt>
                <c:pt idx="7">
                  <c:v>129.52760058116141</c:v>
                </c:pt>
                <c:pt idx="8">
                  <c:v>154.42635609270641</c:v>
                </c:pt>
                <c:pt idx="9">
                  <c:v>209.2154538381977</c:v>
                </c:pt>
                <c:pt idx="10">
                  <c:v>79.456517474278925</c:v>
                </c:pt>
                <c:pt idx="11">
                  <c:v>133.21027347719627</c:v>
                </c:pt>
                <c:pt idx="12">
                  <c:v>108.96721047359324</c:v>
                </c:pt>
                <c:pt idx="13">
                  <c:v>131.4812531049208</c:v>
                </c:pt>
                <c:pt idx="14">
                  <c:v>166.23725209387391</c:v>
                </c:pt>
                <c:pt idx="15">
                  <c:v>228.19864444130209</c:v>
                </c:pt>
                <c:pt idx="16">
                  <c:v>175.80226786346549</c:v>
                </c:pt>
                <c:pt idx="17">
                  <c:v>400.97175090527531</c:v>
                </c:pt>
                <c:pt idx="18">
                  <c:v>261.84568481835174</c:v>
                </c:pt>
                <c:pt idx="19">
                  <c:v>113.74677941719773</c:v>
                </c:pt>
                <c:pt idx="20">
                  <c:v>205.85706209605507</c:v>
                </c:pt>
                <c:pt idx="21">
                  <c:v>141.51468829240281</c:v>
                </c:pt>
                <c:pt idx="22">
                  <c:v>158.38249032025095</c:v>
                </c:pt>
                <c:pt idx="23">
                  <c:v>174.84302506219217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cpc!$A$87</c:f>
              <c:strCache>
                <c:ptCount val="1"/>
                <c:pt idx="0">
                  <c:v>Sklik-cena za trans.</c:v>
                </c:pt>
              </c:strCache>
            </c:strRef>
          </c:tx>
          <c:marker>
            <c:symbol val="none"/>
          </c:marker>
          <c:cat>
            <c:strRef>
              <c:f>cpc!$B$59:$Y$59</c:f>
              <c:strCache>
                <c:ptCount val="24"/>
                <c:pt idx="0">
                  <c:v>2011-09</c:v>
                </c:pt>
                <c:pt idx="1">
                  <c:v>2011-10</c:v>
                </c:pt>
                <c:pt idx="2">
                  <c:v>2011-11</c:v>
                </c:pt>
                <c:pt idx="3">
                  <c:v>2011-12</c:v>
                </c:pt>
                <c:pt idx="4">
                  <c:v>2012-01</c:v>
                </c:pt>
                <c:pt idx="5">
                  <c:v>2012-02</c:v>
                </c:pt>
                <c:pt idx="6">
                  <c:v>2012-03</c:v>
                </c:pt>
                <c:pt idx="7">
                  <c:v>2012-04</c:v>
                </c:pt>
                <c:pt idx="8">
                  <c:v>2012-06</c:v>
                </c:pt>
                <c:pt idx="9">
                  <c:v>2012-07</c:v>
                </c:pt>
                <c:pt idx="10">
                  <c:v>2012-08</c:v>
                </c:pt>
                <c:pt idx="11">
                  <c:v>2012-09</c:v>
                </c:pt>
                <c:pt idx="12">
                  <c:v>2012-10</c:v>
                </c:pt>
                <c:pt idx="13">
                  <c:v>2012-11</c:v>
                </c:pt>
                <c:pt idx="14">
                  <c:v>2012-12</c:v>
                </c:pt>
                <c:pt idx="15">
                  <c:v>2013-01</c:v>
                </c:pt>
                <c:pt idx="16">
                  <c:v>2013-02</c:v>
                </c:pt>
                <c:pt idx="17">
                  <c:v>2013-03</c:v>
                </c:pt>
                <c:pt idx="18">
                  <c:v>2013-04</c:v>
                </c:pt>
                <c:pt idx="19">
                  <c:v>2013-05</c:v>
                </c:pt>
                <c:pt idx="20">
                  <c:v>2013-06</c:v>
                </c:pt>
                <c:pt idx="21">
                  <c:v>2013-07</c:v>
                </c:pt>
                <c:pt idx="22">
                  <c:v>2013-08</c:v>
                </c:pt>
                <c:pt idx="23">
                  <c:v>2013-09</c:v>
                </c:pt>
              </c:strCache>
            </c:strRef>
          </c:cat>
          <c:val>
            <c:numRef>
              <c:f>cpc!$B$87:$Y$87</c:f>
              <c:numCache>
                <c:formatCode>#,##0\ "Kč"</c:formatCode>
                <c:ptCount val="24"/>
                <c:pt idx="0">
                  <c:v>102.02788233182123</c:v>
                </c:pt>
                <c:pt idx="1">
                  <c:v>155.83044313327841</c:v>
                </c:pt>
                <c:pt idx="2">
                  <c:v>155.70656099604997</c:v>
                </c:pt>
                <c:pt idx="3">
                  <c:v>146.34513985309286</c:v>
                </c:pt>
                <c:pt idx="4">
                  <c:v>239.82584974344891</c:v>
                </c:pt>
                <c:pt idx="5">
                  <c:v>358.299455153304</c:v>
                </c:pt>
                <c:pt idx="6">
                  <c:v>204.23921193812558</c:v>
                </c:pt>
                <c:pt idx="7">
                  <c:v>266.25853428210343</c:v>
                </c:pt>
                <c:pt idx="8">
                  <c:v>305.13087090633161</c:v>
                </c:pt>
                <c:pt idx="9">
                  <c:v>283.15473671762771</c:v>
                </c:pt>
                <c:pt idx="10">
                  <c:v>104.51577727366163</c:v>
                </c:pt>
                <c:pt idx="11">
                  <c:v>244.34786020855819</c:v>
                </c:pt>
                <c:pt idx="12">
                  <c:v>108.22654941847404</c:v>
                </c:pt>
                <c:pt idx="13">
                  <c:v>74.023163494610102</c:v>
                </c:pt>
                <c:pt idx="14">
                  <c:v>59.345203070513783</c:v>
                </c:pt>
                <c:pt idx="15">
                  <c:v>76.503725339296309</c:v>
                </c:pt>
                <c:pt idx="16">
                  <c:v>222.48746333984553</c:v>
                </c:pt>
                <c:pt idx="17">
                  <c:v>226.2268840133049</c:v>
                </c:pt>
                <c:pt idx="18">
                  <c:v>268.67446220799428</c:v>
                </c:pt>
                <c:pt idx="19">
                  <c:v>510.31503956132042</c:v>
                </c:pt>
                <c:pt idx="20">
                  <c:v>213.87850720967614</c:v>
                </c:pt>
                <c:pt idx="21">
                  <c:v>224.51711038335716</c:v>
                </c:pt>
                <c:pt idx="22">
                  <c:v>270.76854396266617</c:v>
                </c:pt>
                <c:pt idx="23">
                  <c:v>279.04889585880733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33536"/>
        <c:axId val="177997504"/>
      </c:lineChart>
      <c:catAx>
        <c:axId val="146433536"/>
        <c:scaling>
          <c:orientation val="minMax"/>
        </c:scaling>
        <c:delete val="0"/>
        <c:axPos val="b"/>
        <c:majorTickMark val="none"/>
        <c:minorTickMark val="none"/>
        <c:tickLblPos val="nextTo"/>
        <c:crossAx val="177997504"/>
        <c:crosses val="autoZero"/>
        <c:auto val="1"/>
        <c:lblAlgn val="ctr"/>
        <c:lblOffset val="100"/>
        <c:noMultiLvlLbl val="0"/>
      </c:catAx>
      <c:valAx>
        <c:axId val="177997504"/>
        <c:scaling>
          <c:orientation val="minMax"/>
        </c:scaling>
        <c:delete val="0"/>
        <c:axPos val="l"/>
        <c:majorGridlines/>
        <c:numFmt formatCode="#,##0\ &quot;Kč&quot;" sourceLinked="1"/>
        <c:majorTickMark val="none"/>
        <c:minorTickMark val="none"/>
        <c:tickLblPos val="nextTo"/>
        <c:spPr>
          <a:ln w="9525">
            <a:noFill/>
          </a:ln>
        </c:spPr>
        <c:crossAx val="14643353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Návštěvy a KP - zbožáky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zbožáky!$A$60</c:f>
              <c:strCache>
                <c:ptCount val="1"/>
                <c:pt idx="0">
                  <c:v>zbožáky - Návštěvy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zbožáky!$B$59:$Y$59</c:f>
              <c:strCache>
                <c:ptCount val="24"/>
                <c:pt idx="0">
                  <c:v>2011-09</c:v>
                </c:pt>
                <c:pt idx="1">
                  <c:v>2011-10</c:v>
                </c:pt>
                <c:pt idx="2">
                  <c:v>2011-11</c:v>
                </c:pt>
                <c:pt idx="3">
                  <c:v>2011-12</c:v>
                </c:pt>
                <c:pt idx="4">
                  <c:v>2012-01</c:v>
                </c:pt>
                <c:pt idx="5">
                  <c:v>2012-02</c:v>
                </c:pt>
                <c:pt idx="6">
                  <c:v>2012-03</c:v>
                </c:pt>
                <c:pt idx="7">
                  <c:v>2012-04</c:v>
                </c:pt>
                <c:pt idx="8">
                  <c:v>2012-06</c:v>
                </c:pt>
                <c:pt idx="9">
                  <c:v>2012-07</c:v>
                </c:pt>
                <c:pt idx="10">
                  <c:v>2012-08</c:v>
                </c:pt>
                <c:pt idx="11">
                  <c:v>2012-09</c:v>
                </c:pt>
                <c:pt idx="12">
                  <c:v>2012-10</c:v>
                </c:pt>
                <c:pt idx="13">
                  <c:v>2012-11</c:v>
                </c:pt>
                <c:pt idx="14">
                  <c:v>2012-12</c:v>
                </c:pt>
                <c:pt idx="15">
                  <c:v>2013-01</c:v>
                </c:pt>
                <c:pt idx="16">
                  <c:v>2013-02</c:v>
                </c:pt>
                <c:pt idx="17">
                  <c:v>2013-03</c:v>
                </c:pt>
                <c:pt idx="18">
                  <c:v>2013-04</c:v>
                </c:pt>
                <c:pt idx="19">
                  <c:v>2013-05</c:v>
                </c:pt>
                <c:pt idx="20">
                  <c:v>2013-06</c:v>
                </c:pt>
                <c:pt idx="21">
                  <c:v>2013-07</c:v>
                </c:pt>
                <c:pt idx="22">
                  <c:v>2013-08</c:v>
                </c:pt>
                <c:pt idx="23">
                  <c:v>2013-09</c:v>
                </c:pt>
              </c:strCache>
            </c:strRef>
          </c:cat>
          <c:val>
            <c:numRef>
              <c:f>zbožáky!$B$60:$Y$60</c:f>
              <c:numCache>
                <c:formatCode>#,##0</c:formatCode>
                <c:ptCount val="24"/>
                <c:pt idx="0">
                  <c:v>18469.279107052105</c:v>
                </c:pt>
                <c:pt idx="1">
                  <c:v>16641.503933446529</c:v>
                </c:pt>
                <c:pt idx="2">
                  <c:v>17249.729564909587</c:v>
                </c:pt>
                <c:pt idx="3">
                  <c:v>19040.951486825408</c:v>
                </c:pt>
                <c:pt idx="4">
                  <c:v>26585.640287686871</c:v>
                </c:pt>
                <c:pt idx="5">
                  <c:v>31773.054384188843</c:v>
                </c:pt>
                <c:pt idx="6">
                  <c:v>18561.841081023733</c:v>
                </c:pt>
                <c:pt idx="7">
                  <c:v>16529.388648686043</c:v>
                </c:pt>
                <c:pt idx="8">
                  <c:v>14224.007957417516</c:v>
                </c:pt>
                <c:pt idx="9">
                  <c:v>16627.622477876856</c:v>
                </c:pt>
                <c:pt idx="10">
                  <c:v>20336.664228849833</c:v>
                </c:pt>
                <c:pt idx="11">
                  <c:v>18529.955884242863</c:v>
                </c:pt>
                <c:pt idx="12">
                  <c:v>14250.218624242685</c:v>
                </c:pt>
                <c:pt idx="13">
                  <c:v>18646.267228530989</c:v>
                </c:pt>
                <c:pt idx="14">
                  <c:v>19063.318681048717</c:v>
                </c:pt>
                <c:pt idx="15">
                  <c:v>17663.252605268623</c:v>
                </c:pt>
                <c:pt idx="16">
                  <c:v>14725.060112407918</c:v>
                </c:pt>
                <c:pt idx="17">
                  <c:v>13693.765987108885</c:v>
                </c:pt>
                <c:pt idx="18">
                  <c:v>15665.443992043609</c:v>
                </c:pt>
                <c:pt idx="19">
                  <c:v>14179.966533306146</c:v>
                </c:pt>
                <c:pt idx="20">
                  <c:v>17325.871676251863</c:v>
                </c:pt>
                <c:pt idx="21">
                  <c:v>11647.188384996616</c:v>
                </c:pt>
                <c:pt idx="22">
                  <c:v>11537.591788827542</c:v>
                </c:pt>
                <c:pt idx="23">
                  <c:v>15851.897031025219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5584640"/>
        <c:axId val="178000960"/>
      </c:barChart>
      <c:lineChart>
        <c:grouping val="standard"/>
        <c:varyColors val="0"/>
        <c:ser>
          <c:idx val="1"/>
          <c:order val="1"/>
          <c:tx>
            <c:strRef>
              <c:f>zbožáky!$A$63</c:f>
              <c:strCache>
                <c:ptCount val="1"/>
                <c:pt idx="0">
                  <c:v>zbožáky - KP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rgbClr val="4F81BD"/>
                </a:solidFill>
              </a:ln>
            </c:spPr>
          </c:marker>
          <c:cat>
            <c:strRef>
              <c:f>zbožáky!$B$59:$Y$59</c:f>
              <c:strCache>
                <c:ptCount val="24"/>
                <c:pt idx="0">
                  <c:v>2011-09</c:v>
                </c:pt>
                <c:pt idx="1">
                  <c:v>2011-10</c:v>
                </c:pt>
                <c:pt idx="2">
                  <c:v>2011-11</c:v>
                </c:pt>
                <c:pt idx="3">
                  <c:v>2011-12</c:v>
                </c:pt>
                <c:pt idx="4">
                  <c:v>2012-01</c:v>
                </c:pt>
                <c:pt idx="5">
                  <c:v>2012-02</c:v>
                </c:pt>
                <c:pt idx="6">
                  <c:v>2012-03</c:v>
                </c:pt>
                <c:pt idx="7">
                  <c:v>2012-04</c:v>
                </c:pt>
                <c:pt idx="8">
                  <c:v>2012-06</c:v>
                </c:pt>
                <c:pt idx="9">
                  <c:v>2012-07</c:v>
                </c:pt>
                <c:pt idx="10">
                  <c:v>2012-08</c:v>
                </c:pt>
                <c:pt idx="11">
                  <c:v>2012-09</c:v>
                </c:pt>
                <c:pt idx="12">
                  <c:v>2012-10</c:v>
                </c:pt>
                <c:pt idx="13">
                  <c:v>2012-11</c:v>
                </c:pt>
                <c:pt idx="14">
                  <c:v>2012-12</c:v>
                </c:pt>
                <c:pt idx="15">
                  <c:v>2013-01</c:v>
                </c:pt>
                <c:pt idx="16">
                  <c:v>2013-02</c:v>
                </c:pt>
                <c:pt idx="17">
                  <c:v>2013-03</c:v>
                </c:pt>
                <c:pt idx="18">
                  <c:v>2013-04</c:v>
                </c:pt>
                <c:pt idx="19">
                  <c:v>2013-05</c:v>
                </c:pt>
                <c:pt idx="20">
                  <c:v>2013-06</c:v>
                </c:pt>
                <c:pt idx="21">
                  <c:v>2013-07</c:v>
                </c:pt>
                <c:pt idx="22">
                  <c:v>2013-08</c:v>
                </c:pt>
                <c:pt idx="23">
                  <c:v>2013-09</c:v>
                </c:pt>
              </c:strCache>
            </c:strRef>
          </c:cat>
          <c:val>
            <c:numRef>
              <c:f>zbožáky!$B$63:$Y$63</c:f>
              <c:numCache>
                <c:formatCode>0.00%</c:formatCode>
                <c:ptCount val="24"/>
                <c:pt idx="0">
                  <c:v>3.0297651947553877E-2</c:v>
                </c:pt>
                <c:pt idx="1">
                  <c:v>3.244332530494063E-2</c:v>
                </c:pt>
                <c:pt idx="2">
                  <c:v>4.2482926010565088E-2</c:v>
                </c:pt>
                <c:pt idx="3">
                  <c:v>6.0163475653881034E-2</c:v>
                </c:pt>
                <c:pt idx="4">
                  <c:v>3.4049228967331799E-2</c:v>
                </c:pt>
                <c:pt idx="5">
                  <c:v>1.6990345029254551E-2</c:v>
                </c:pt>
                <c:pt idx="6">
                  <c:v>2.3183905753181105E-2</c:v>
                </c:pt>
                <c:pt idx="7">
                  <c:v>2.7604908579646932E-2</c:v>
                </c:pt>
                <c:pt idx="8">
                  <c:v>4.8367124348817042E-2</c:v>
                </c:pt>
                <c:pt idx="9">
                  <c:v>2.9136945404083996E-2</c:v>
                </c:pt>
                <c:pt idx="10">
                  <c:v>3.3375356866935366E-2</c:v>
                </c:pt>
                <c:pt idx="11">
                  <c:v>3.2256967969925006E-2</c:v>
                </c:pt>
                <c:pt idx="12">
                  <c:v>2.399435537051282E-2</c:v>
                </c:pt>
                <c:pt idx="13">
                  <c:v>3.1310253509511936E-2</c:v>
                </c:pt>
                <c:pt idx="14">
                  <c:v>4.7287304159968374E-2</c:v>
                </c:pt>
                <c:pt idx="15">
                  <c:v>2.6340695022357023E-2</c:v>
                </c:pt>
                <c:pt idx="16">
                  <c:v>3.3938366340331635E-2</c:v>
                </c:pt>
                <c:pt idx="17">
                  <c:v>3.2087930128056427E-2</c:v>
                </c:pt>
                <c:pt idx="18">
                  <c:v>2.5843018785944565E-2</c:v>
                </c:pt>
                <c:pt idx="19">
                  <c:v>3.3642766731273886E-2</c:v>
                </c:pt>
                <c:pt idx="20">
                  <c:v>3.72134598888961E-2</c:v>
                </c:pt>
                <c:pt idx="21">
                  <c:v>8.4291972608165636E-2</c:v>
                </c:pt>
                <c:pt idx="22">
                  <c:v>6.0208941123657538E-2</c:v>
                </c:pt>
                <c:pt idx="23">
                  <c:v>3.1192470102518684E-2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859264"/>
        <c:axId val="178000384"/>
      </c:lineChart>
      <c:catAx>
        <c:axId val="142859264"/>
        <c:scaling>
          <c:orientation val="minMax"/>
        </c:scaling>
        <c:delete val="0"/>
        <c:axPos val="b"/>
        <c:majorTickMark val="none"/>
        <c:minorTickMark val="none"/>
        <c:tickLblPos val="nextTo"/>
        <c:crossAx val="178000384"/>
        <c:crosses val="autoZero"/>
        <c:auto val="1"/>
        <c:lblAlgn val="ctr"/>
        <c:lblOffset val="100"/>
        <c:noMultiLvlLbl val="0"/>
      </c:catAx>
      <c:valAx>
        <c:axId val="178000384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42859264"/>
        <c:crosses val="autoZero"/>
        <c:crossBetween val="between"/>
      </c:valAx>
      <c:valAx>
        <c:axId val="178000960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crossAx val="145584640"/>
        <c:crosses val="max"/>
        <c:crossBetween val="between"/>
      </c:valAx>
      <c:catAx>
        <c:axId val="145584640"/>
        <c:scaling>
          <c:orientation val="minMax"/>
        </c:scaling>
        <c:delete val="1"/>
        <c:axPos val="b"/>
        <c:majorTickMark val="out"/>
        <c:minorTickMark val="none"/>
        <c:tickLblPos val="none"/>
        <c:crossAx val="178000960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Transakce a obrat</a:t>
            </a:r>
            <a:r>
              <a:rPr lang="cs-CZ" baseline="0"/>
              <a:t> </a:t>
            </a:r>
            <a:r>
              <a:rPr lang="cs-CZ"/>
              <a:t>- zbožáky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zbožáky!$A$62</c:f>
              <c:strCache>
                <c:ptCount val="1"/>
                <c:pt idx="0">
                  <c:v>zbožáky - Obrat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zbožáky!$B$59:$Y$59</c:f>
              <c:strCache>
                <c:ptCount val="24"/>
                <c:pt idx="0">
                  <c:v>2011-09</c:v>
                </c:pt>
                <c:pt idx="1">
                  <c:v>2011-10</c:v>
                </c:pt>
                <c:pt idx="2">
                  <c:v>2011-11</c:v>
                </c:pt>
                <c:pt idx="3">
                  <c:v>2011-12</c:v>
                </c:pt>
                <c:pt idx="4">
                  <c:v>2012-01</c:v>
                </c:pt>
                <c:pt idx="5">
                  <c:v>2012-02</c:v>
                </c:pt>
                <c:pt idx="6">
                  <c:v>2012-03</c:v>
                </c:pt>
                <c:pt idx="7">
                  <c:v>2012-04</c:v>
                </c:pt>
                <c:pt idx="8">
                  <c:v>2012-06</c:v>
                </c:pt>
                <c:pt idx="9">
                  <c:v>2012-07</c:v>
                </c:pt>
                <c:pt idx="10">
                  <c:v>2012-08</c:v>
                </c:pt>
                <c:pt idx="11">
                  <c:v>2012-09</c:v>
                </c:pt>
                <c:pt idx="12">
                  <c:v>2012-10</c:v>
                </c:pt>
                <c:pt idx="13">
                  <c:v>2012-11</c:v>
                </c:pt>
                <c:pt idx="14">
                  <c:v>2012-12</c:v>
                </c:pt>
                <c:pt idx="15">
                  <c:v>2013-01</c:v>
                </c:pt>
                <c:pt idx="16">
                  <c:v>2013-02</c:v>
                </c:pt>
                <c:pt idx="17">
                  <c:v>2013-03</c:v>
                </c:pt>
                <c:pt idx="18">
                  <c:v>2013-04</c:v>
                </c:pt>
                <c:pt idx="19">
                  <c:v>2013-05</c:v>
                </c:pt>
                <c:pt idx="20">
                  <c:v>2013-06</c:v>
                </c:pt>
                <c:pt idx="21">
                  <c:v>2013-07</c:v>
                </c:pt>
                <c:pt idx="22">
                  <c:v>2013-08</c:v>
                </c:pt>
                <c:pt idx="23">
                  <c:v>2013-09</c:v>
                </c:pt>
              </c:strCache>
            </c:strRef>
          </c:cat>
          <c:val>
            <c:numRef>
              <c:f>zbožáky!$B$62:$Y$62</c:f>
              <c:numCache>
                <c:formatCode>#,##0\ "Kč"</c:formatCode>
                <c:ptCount val="24"/>
                <c:pt idx="0">
                  <c:v>888372.10467142146</c:v>
                </c:pt>
                <c:pt idx="1">
                  <c:v>637314.1782860253</c:v>
                </c:pt>
                <c:pt idx="2">
                  <c:v>1257691.4462198319</c:v>
                </c:pt>
                <c:pt idx="3">
                  <c:v>952360.74049642251</c:v>
                </c:pt>
                <c:pt idx="4">
                  <c:v>989167.46147216379</c:v>
                </c:pt>
                <c:pt idx="5">
                  <c:v>1228994.7035048837</c:v>
                </c:pt>
                <c:pt idx="6">
                  <c:v>1171353.0226008878</c:v>
                </c:pt>
                <c:pt idx="7">
                  <c:v>1182778.3662365887</c:v>
                </c:pt>
                <c:pt idx="8">
                  <c:v>1295872.2239105501</c:v>
                </c:pt>
                <c:pt idx="9">
                  <c:v>986126.04394217918</c:v>
                </c:pt>
                <c:pt idx="10">
                  <c:v>880622.41913194163</c:v>
                </c:pt>
                <c:pt idx="11">
                  <c:v>553269.56807672256</c:v>
                </c:pt>
                <c:pt idx="12">
                  <c:v>505123.71742225689</c:v>
                </c:pt>
                <c:pt idx="13">
                  <c:v>895701.90022679069</c:v>
                </c:pt>
                <c:pt idx="14">
                  <c:v>950837.9546564942</c:v>
                </c:pt>
                <c:pt idx="15">
                  <c:v>1235363.6241924132</c:v>
                </c:pt>
                <c:pt idx="16">
                  <c:v>768342.31407965801</c:v>
                </c:pt>
                <c:pt idx="17">
                  <c:v>646511.61105718336</c:v>
                </c:pt>
                <c:pt idx="18">
                  <c:v>1042691.3198619959</c:v>
                </c:pt>
                <c:pt idx="19">
                  <c:v>775564.9728326099</c:v>
                </c:pt>
                <c:pt idx="20">
                  <c:v>840056.81063856999</c:v>
                </c:pt>
                <c:pt idx="21">
                  <c:v>1349593.5470665162</c:v>
                </c:pt>
                <c:pt idx="22">
                  <c:v>1547191.4295611673</c:v>
                </c:pt>
                <c:pt idx="23">
                  <c:v>789571.62226799037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6435584"/>
        <c:axId val="178053120"/>
      </c:barChart>
      <c:lineChart>
        <c:grouping val="standard"/>
        <c:varyColors val="0"/>
        <c:ser>
          <c:idx val="0"/>
          <c:order val="0"/>
          <c:tx>
            <c:strRef>
              <c:f>zbožáky!$A$61</c:f>
              <c:strCache>
                <c:ptCount val="1"/>
                <c:pt idx="0">
                  <c:v>zbožáky - Transakce</c:v>
                </c:pt>
              </c:strCache>
            </c:strRef>
          </c:tx>
          <c:cat>
            <c:strRef>
              <c:f>zbožáky!$B$59:$Y$59</c:f>
              <c:strCache>
                <c:ptCount val="24"/>
                <c:pt idx="0">
                  <c:v>2011-09</c:v>
                </c:pt>
                <c:pt idx="1">
                  <c:v>2011-10</c:v>
                </c:pt>
                <c:pt idx="2">
                  <c:v>2011-11</c:v>
                </c:pt>
                <c:pt idx="3">
                  <c:v>2011-12</c:v>
                </c:pt>
                <c:pt idx="4">
                  <c:v>2012-01</c:v>
                </c:pt>
                <c:pt idx="5">
                  <c:v>2012-02</c:v>
                </c:pt>
                <c:pt idx="6">
                  <c:v>2012-03</c:v>
                </c:pt>
                <c:pt idx="7">
                  <c:v>2012-04</c:v>
                </c:pt>
                <c:pt idx="8">
                  <c:v>2012-06</c:v>
                </c:pt>
                <c:pt idx="9">
                  <c:v>2012-07</c:v>
                </c:pt>
                <c:pt idx="10">
                  <c:v>2012-08</c:v>
                </c:pt>
                <c:pt idx="11">
                  <c:v>2012-09</c:v>
                </c:pt>
                <c:pt idx="12">
                  <c:v>2012-10</c:v>
                </c:pt>
                <c:pt idx="13">
                  <c:v>2012-11</c:v>
                </c:pt>
                <c:pt idx="14">
                  <c:v>2012-12</c:v>
                </c:pt>
                <c:pt idx="15">
                  <c:v>2013-01</c:v>
                </c:pt>
                <c:pt idx="16">
                  <c:v>2013-02</c:v>
                </c:pt>
                <c:pt idx="17">
                  <c:v>2013-03</c:v>
                </c:pt>
                <c:pt idx="18">
                  <c:v>2013-04</c:v>
                </c:pt>
                <c:pt idx="19">
                  <c:v>2013-05</c:v>
                </c:pt>
                <c:pt idx="20">
                  <c:v>2013-06</c:v>
                </c:pt>
                <c:pt idx="21">
                  <c:v>2013-07</c:v>
                </c:pt>
                <c:pt idx="22">
                  <c:v>2013-08</c:v>
                </c:pt>
                <c:pt idx="23">
                  <c:v>2013-09</c:v>
                </c:pt>
              </c:strCache>
            </c:strRef>
          </c:cat>
          <c:val>
            <c:numRef>
              <c:f>zbožáky!$B$61:$Y$61</c:f>
              <c:numCache>
                <c:formatCode>#,##0</c:formatCode>
                <c:ptCount val="24"/>
                <c:pt idx="0">
                  <c:v>559.57579010769336</c:v>
                </c:pt>
                <c:pt idx="1">
                  <c:v>539.90572567625486</c:v>
                </c:pt>
                <c:pt idx="2">
                  <c:v>732.81898480831103</c:v>
                </c:pt>
                <c:pt idx="3">
                  <c:v>1145.5698212043503</c:v>
                </c:pt>
                <c:pt idx="4">
                  <c:v>905.22055339857104</c:v>
                </c:pt>
                <c:pt idx="5">
                  <c:v>539.83515662063746</c:v>
                </c:pt>
                <c:pt idx="6">
                  <c:v>430.33597422797953</c:v>
                </c:pt>
                <c:pt idx="7">
                  <c:v>456.29226252443198</c:v>
                </c:pt>
                <c:pt idx="8">
                  <c:v>687.97436161497615</c:v>
                </c:pt>
                <c:pt idx="9">
                  <c:v>484.47812833761782</c:v>
                </c:pt>
                <c:pt idx="10">
                  <c:v>678.74342612090209</c:v>
                </c:pt>
                <c:pt idx="11">
                  <c:v>597.72019344214539</c:v>
                </c:pt>
                <c:pt idx="12">
                  <c:v>341.9248097775793</c:v>
                </c:pt>
                <c:pt idx="13">
                  <c:v>583.81935393140975</c:v>
                </c:pt>
                <c:pt idx="14">
                  <c:v>901.45294876915784</c:v>
                </c:pt>
                <c:pt idx="15">
                  <c:v>465.26234997823394</c:v>
                </c:pt>
                <c:pt idx="16">
                  <c:v>499.74448447830491</c:v>
                </c:pt>
                <c:pt idx="17">
                  <c:v>439.40460618430558</c:v>
                </c:pt>
                <c:pt idx="18">
                  <c:v>404.84236337654539</c:v>
                </c:pt>
                <c:pt idx="19">
                  <c:v>477.05330633728909</c:v>
                </c:pt>
                <c:pt idx="20">
                  <c:v>644.75563066435973</c:v>
                </c:pt>
                <c:pt idx="21">
                  <c:v>981.76448431027973</c:v>
                </c:pt>
                <c:pt idx="22">
                  <c:v>694.6661847223121</c:v>
                </c:pt>
                <c:pt idx="23">
                  <c:v>494.45982420845883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585152"/>
        <c:axId val="178003264"/>
      </c:lineChart>
      <c:catAx>
        <c:axId val="145585152"/>
        <c:scaling>
          <c:orientation val="minMax"/>
        </c:scaling>
        <c:delete val="0"/>
        <c:axPos val="b"/>
        <c:majorTickMark val="none"/>
        <c:minorTickMark val="none"/>
        <c:tickLblPos val="nextTo"/>
        <c:crossAx val="178003264"/>
        <c:crosses val="autoZero"/>
        <c:auto val="1"/>
        <c:lblAlgn val="ctr"/>
        <c:lblOffset val="100"/>
        <c:noMultiLvlLbl val="0"/>
      </c:catAx>
      <c:valAx>
        <c:axId val="17800326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45585152"/>
        <c:crosses val="autoZero"/>
        <c:crossBetween val="between"/>
      </c:valAx>
      <c:valAx>
        <c:axId val="178053120"/>
        <c:scaling>
          <c:orientation val="minMax"/>
        </c:scaling>
        <c:delete val="0"/>
        <c:axPos val="r"/>
        <c:numFmt formatCode="#,##0\ &quot;Kč&quot;" sourceLinked="1"/>
        <c:majorTickMark val="out"/>
        <c:minorTickMark val="none"/>
        <c:tickLblPos val="nextTo"/>
        <c:crossAx val="146435584"/>
        <c:crosses val="max"/>
        <c:crossBetween val="between"/>
      </c:valAx>
      <c:catAx>
        <c:axId val="146435584"/>
        <c:scaling>
          <c:orientation val="minMax"/>
        </c:scaling>
        <c:delete val="1"/>
        <c:axPos val="b"/>
        <c:majorTickMark val="out"/>
        <c:minorTickMark val="none"/>
        <c:tickLblPos val="none"/>
        <c:crossAx val="178053120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Návštěvy - Heureka vs. zboží vs.</a:t>
            </a:r>
            <a:r>
              <a:rPr lang="cs-CZ" baseline="0"/>
              <a:t> ostatní</a:t>
            </a:r>
            <a:endParaRPr lang="cs-CZ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zbožáky!$A$65</c:f>
              <c:strCache>
                <c:ptCount val="1"/>
                <c:pt idx="0">
                  <c:v>heureka - Návštěvy</c:v>
                </c:pt>
              </c:strCache>
            </c:strRef>
          </c:tx>
          <c:marker>
            <c:symbol val="none"/>
          </c:marker>
          <c:cat>
            <c:strRef>
              <c:f>zbožáky!$B$59:$Y$59</c:f>
              <c:strCache>
                <c:ptCount val="24"/>
                <c:pt idx="0">
                  <c:v>2011-09</c:v>
                </c:pt>
                <c:pt idx="1">
                  <c:v>2011-10</c:v>
                </c:pt>
                <c:pt idx="2">
                  <c:v>2011-11</c:v>
                </c:pt>
                <c:pt idx="3">
                  <c:v>2011-12</c:v>
                </c:pt>
                <c:pt idx="4">
                  <c:v>2012-01</c:v>
                </c:pt>
                <c:pt idx="5">
                  <c:v>2012-02</c:v>
                </c:pt>
                <c:pt idx="6">
                  <c:v>2012-03</c:v>
                </c:pt>
                <c:pt idx="7">
                  <c:v>2012-04</c:v>
                </c:pt>
                <c:pt idx="8">
                  <c:v>2012-06</c:v>
                </c:pt>
                <c:pt idx="9">
                  <c:v>2012-07</c:v>
                </c:pt>
                <c:pt idx="10">
                  <c:v>2012-08</c:v>
                </c:pt>
                <c:pt idx="11">
                  <c:v>2012-09</c:v>
                </c:pt>
                <c:pt idx="12">
                  <c:v>2012-10</c:v>
                </c:pt>
                <c:pt idx="13">
                  <c:v>2012-11</c:v>
                </c:pt>
                <c:pt idx="14">
                  <c:v>2012-12</c:v>
                </c:pt>
                <c:pt idx="15">
                  <c:v>2013-01</c:v>
                </c:pt>
                <c:pt idx="16">
                  <c:v>2013-02</c:v>
                </c:pt>
                <c:pt idx="17">
                  <c:v>2013-03</c:v>
                </c:pt>
                <c:pt idx="18">
                  <c:v>2013-04</c:v>
                </c:pt>
                <c:pt idx="19">
                  <c:v>2013-05</c:v>
                </c:pt>
                <c:pt idx="20">
                  <c:v>2013-06</c:v>
                </c:pt>
                <c:pt idx="21">
                  <c:v>2013-07</c:v>
                </c:pt>
                <c:pt idx="22">
                  <c:v>2013-08</c:v>
                </c:pt>
                <c:pt idx="23">
                  <c:v>2013-09</c:v>
                </c:pt>
              </c:strCache>
            </c:strRef>
          </c:cat>
          <c:val>
            <c:numRef>
              <c:f>zbožáky!$B$65:$Y$65</c:f>
              <c:numCache>
                <c:formatCode>#,##0</c:formatCode>
                <c:ptCount val="24"/>
                <c:pt idx="0">
                  <c:v>4787.1292997625515</c:v>
                </c:pt>
                <c:pt idx="1">
                  <c:v>3122.2554007487356</c:v>
                </c:pt>
                <c:pt idx="2">
                  <c:v>7449.9059914848667</c:v>
                </c:pt>
                <c:pt idx="3">
                  <c:v>13210.92133935028</c:v>
                </c:pt>
                <c:pt idx="4">
                  <c:v>6026.6060809326755</c:v>
                </c:pt>
                <c:pt idx="5">
                  <c:v>6769.3563567609817</c:v>
                </c:pt>
                <c:pt idx="6">
                  <c:v>5207.0448266388321</c:v>
                </c:pt>
                <c:pt idx="7">
                  <c:v>7136.6560747385047</c:v>
                </c:pt>
                <c:pt idx="8">
                  <c:v>7346.0617822418772</c:v>
                </c:pt>
                <c:pt idx="9">
                  <c:v>5816.2144358635651</c:v>
                </c:pt>
                <c:pt idx="10">
                  <c:v>6926.0191143577349</c:v>
                </c:pt>
                <c:pt idx="11">
                  <c:v>4822.2775006355778</c:v>
                </c:pt>
                <c:pt idx="12">
                  <c:v>5912.8958618228953</c:v>
                </c:pt>
                <c:pt idx="13">
                  <c:v>13615.788826122958</c:v>
                </c:pt>
                <c:pt idx="14">
                  <c:v>11717.173320494623</c:v>
                </c:pt>
                <c:pt idx="15">
                  <c:v>7368.0076624599133</c:v>
                </c:pt>
                <c:pt idx="16">
                  <c:v>8325.6398453106012</c:v>
                </c:pt>
                <c:pt idx="17">
                  <c:v>7341.5238574006416</c:v>
                </c:pt>
                <c:pt idx="18">
                  <c:v>9293.0735551621165</c:v>
                </c:pt>
                <c:pt idx="19">
                  <c:v>10212.518164083069</c:v>
                </c:pt>
                <c:pt idx="20">
                  <c:v>6119.9607044286367</c:v>
                </c:pt>
                <c:pt idx="21">
                  <c:v>10523.392444661782</c:v>
                </c:pt>
                <c:pt idx="22">
                  <c:v>6043.0981780818711</c:v>
                </c:pt>
                <c:pt idx="23">
                  <c:v>3907.2400787456108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zbožáky!$A$70</c:f>
              <c:strCache>
                <c:ptCount val="1"/>
                <c:pt idx="0">
                  <c:v>zbozi - Návštěvy</c:v>
                </c:pt>
              </c:strCache>
            </c:strRef>
          </c:tx>
          <c:marker>
            <c:symbol val="none"/>
          </c:marker>
          <c:cat>
            <c:strRef>
              <c:f>zbožáky!$B$59:$Y$59</c:f>
              <c:strCache>
                <c:ptCount val="24"/>
                <c:pt idx="0">
                  <c:v>2011-09</c:v>
                </c:pt>
                <c:pt idx="1">
                  <c:v>2011-10</c:v>
                </c:pt>
                <c:pt idx="2">
                  <c:v>2011-11</c:v>
                </c:pt>
                <c:pt idx="3">
                  <c:v>2011-12</c:v>
                </c:pt>
                <c:pt idx="4">
                  <c:v>2012-01</c:v>
                </c:pt>
                <c:pt idx="5">
                  <c:v>2012-02</c:v>
                </c:pt>
                <c:pt idx="6">
                  <c:v>2012-03</c:v>
                </c:pt>
                <c:pt idx="7">
                  <c:v>2012-04</c:v>
                </c:pt>
                <c:pt idx="8">
                  <c:v>2012-06</c:v>
                </c:pt>
                <c:pt idx="9">
                  <c:v>2012-07</c:v>
                </c:pt>
                <c:pt idx="10">
                  <c:v>2012-08</c:v>
                </c:pt>
                <c:pt idx="11">
                  <c:v>2012-09</c:v>
                </c:pt>
                <c:pt idx="12">
                  <c:v>2012-10</c:v>
                </c:pt>
                <c:pt idx="13">
                  <c:v>2012-11</c:v>
                </c:pt>
                <c:pt idx="14">
                  <c:v>2012-12</c:v>
                </c:pt>
                <c:pt idx="15">
                  <c:v>2013-01</c:v>
                </c:pt>
                <c:pt idx="16">
                  <c:v>2013-02</c:v>
                </c:pt>
                <c:pt idx="17">
                  <c:v>2013-03</c:v>
                </c:pt>
                <c:pt idx="18">
                  <c:v>2013-04</c:v>
                </c:pt>
                <c:pt idx="19">
                  <c:v>2013-05</c:v>
                </c:pt>
                <c:pt idx="20">
                  <c:v>2013-06</c:v>
                </c:pt>
                <c:pt idx="21">
                  <c:v>2013-07</c:v>
                </c:pt>
                <c:pt idx="22">
                  <c:v>2013-08</c:v>
                </c:pt>
                <c:pt idx="23">
                  <c:v>2013-09</c:v>
                </c:pt>
              </c:strCache>
            </c:strRef>
          </c:cat>
          <c:val>
            <c:numRef>
              <c:f>zbožáky!$B$70:$Y$70</c:f>
              <c:numCache>
                <c:formatCode>#,##0</c:formatCode>
                <c:ptCount val="24"/>
                <c:pt idx="0">
                  <c:v>12550.575034252182</c:v>
                </c:pt>
                <c:pt idx="1">
                  <c:v>11601.196566614362</c:v>
                </c:pt>
                <c:pt idx="2">
                  <c:v>10727.340231159802</c:v>
                </c:pt>
                <c:pt idx="3">
                  <c:v>13638.344859644159</c:v>
                </c:pt>
                <c:pt idx="4">
                  <c:v>14503.17159895011</c:v>
                </c:pt>
                <c:pt idx="5">
                  <c:v>14624.463397228836</c:v>
                </c:pt>
                <c:pt idx="6">
                  <c:v>15264.891966224306</c:v>
                </c:pt>
                <c:pt idx="7">
                  <c:v>7720.3216859617496</c:v>
                </c:pt>
                <c:pt idx="8">
                  <c:v>7988.1784763307114</c:v>
                </c:pt>
                <c:pt idx="9">
                  <c:v>7167.7221525901641</c:v>
                </c:pt>
                <c:pt idx="10">
                  <c:v>6341.1464716601822</c:v>
                </c:pt>
                <c:pt idx="11">
                  <c:v>6731.960880634093</c:v>
                </c:pt>
                <c:pt idx="12">
                  <c:v>6349.0729908637286</c:v>
                </c:pt>
                <c:pt idx="13">
                  <c:v>8844.351772301543</c:v>
                </c:pt>
                <c:pt idx="14">
                  <c:v>11866.135032344366</c:v>
                </c:pt>
                <c:pt idx="15">
                  <c:v>10487.893427873965</c:v>
                </c:pt>
                <c:pt idx="16">
                  <c:v>5829.645593505953</c:v>
                </c:pt>
                <c:pt idx="17">
                  <c:v>6314.8316926129701</c:v>
                </c:pt>
                <c:pt idx="18">
                  <c:v>7363.0897561724005</c:v>
                </c:pt>
                <c:pt idx="19">
                  <c:v>4828.8900644803098</c:v>
                </c:pt>
                <c:pt idx="20">
                  <c:v>3675.3153232534492</c:v>
                </c:pt>
                <c:pt idx="21">
                  <c:v>8257.3111253815296</c:v>
                </c:pt>
                <c:pt idx="22">
                  <c:v>7921.207652221332</c:v>
                </c:pt>
                <c:pt idx="23">
                  <c:v>5627.5609732966568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zbožáky!$A$75</c:f>
              <c:strCache>
                <c:ptCount val="1"/>
                <c:pt idx="0">
                  <c:v>zbož-ost - Návštěvy</c:v>
                </c:pt>
              </c:strCache>
            </c:strRef>
          </c:tx>
          <c:marker>
            <c:symbol val="none"/>
          </c:marker>
          <c:val>
            <c:numRef>
              <c:f>zbožáky!$B$75:$Y$75</c:f>
              <c:numCache>
                <c:formatCode>#,##0</c:formatCode>
                <c:ptCount val="24"/>
                <c:pt idx="0">
                  <c:v>2385.4879761436382</c:v>
                </c:pt>
                <c:pt idx="1">
                  <c:v>3301.291316704885</c:v>
                </c:pt>
                <c:pt idx="2">
                  <c:v>2487.9693552651297</c:v>
                </c:pt>
                <c:pt idx="3">
                  <c:v>2534.1034898261805</c:v>
                </c:pt>
                <c:pt idx="4">
                  <c:v>2929.7293391473122</c:v>
                </c:pt>
                <c:pt idx="5">
                  <c:v>3466.21970367928</c:v>
                </c:pt>
                <c:pt idx="6">
                  <c:v>2555.4011925018144</c:v>
                </c:pt>
                <c:pt idx="7">
                  <c:v>3115.3649726195586</c:v>
                </c:pt>
                <c:pt idx="8">
                  <c:v>3218.6291573533053</c:v>
                </c:pt>
                <c:pt idx="9">
                  <c:v>2576.5747066278041</c:v>
                </c:pt>
                <c:pt idx="10">
                  <c:v>1747.4187655188648</c:v>
                </c:pt>
                <c:pt idx="11">
                  <c:v>2112.802179334677</c:v>
                </c:pt>
                <c:pt idx="12">
                  <c:v>2474.6304297081724</c:v>
                </c:pt>
                <c:pt idx="13">
                  <c:v>3359.240260551775</c:v>
                </c:pt>
                <c:pt idx="14">
                  <c:v>2272.6276424482335</c:v>
                </c:pt>
                <c:pt idx="15">
                  <c:v>4211.254499724042</c:v>
                </c:pt>
                <c:pt idx="16">
                  <c:v>2791.4460447302067</c:v>
                </c:pt>
                <c:pt idx="17">
                  <c:v>2049.2602823089937</c:v>
                </c:pt>
                <c:pt idx="18">
                  <c:v>2387.4887798087912</c:v>
                </c:pt>
                <c:pt idx="19">
                  <c:v>2259.6302520013892</c:v>
                </c:pt>
                <c:pt idx="20">
                  <c:v>1766.9667256817704</c:v>
                </c:pt>
                <c:pt idx="21">
                  <c:v>1372.4416641851121</c:v>
                </c:pt>
                <c:pt idx="22">
                  <c:v>1950.4894997378078</c:v>
                </c:pt>
                <c:pt idx="23">
                  <c:v>1859.8367162846828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585664"/>
        <c:axId val="178056000"/>
      </c:lineChart>
      <c:catAx>
        <c:axId val="145585664"/>
        <c:scaling>
          <c:orientation val="minMax"/>
        </c:scaling>
        <c:delete val="0"/>
        <c:axPos val="b"/>
        <c:majorTickMark val="none"/>
        <c:minorTickMark val="none"/>
        <c:tickLblPos val="nextTo"/>
        <c:crossAx val="178056000"/>
        <c:crosses val="autoZero"/>
        <c:auto val="1"/>
        <c:lblAlgn val="ctr"/>
        <c:lblOffset val="100"/>
        <c:noMultiLvlLbl val="0"/>
      </c:catAx>
      <c:valAx>
        <c:axId val="17805600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455856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Obrat - </a:t>
            </a:r>
            <a:r>
              <a:rPr lang="cs-CZ" sz="1800" b="1" i="0" u="none" strike="noStrike" baseline="0"/>
              <a:t>Heureka vs. zboží vs. ostatní</a:t>
            </a:r>
            <a:endParaRPr lang="cs-CZ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zbožáky!$A$67</c:f>
              <c:strCache>
                <c:ptCount val="1"/>
                <c:pt idx="0">
                  <c:v>heureka - Obrat</c:v>
                </c:pt>
              </c:strCache>
            </c:strRef>
          </c:tx>
          <c:marker>
            <c:symbol val="none"/>
          </c:marker>
          <c:cat>
            <c:strRef>
              <c:f>zbožáky!$B$59:$Y$59</c:f>
              <c:strCache>
                <c:ptCount val="24"/>
                <c:pt idx="0">
                  <c:v>2011-09</c:v>
                </c:pt>
                <c:pt idx="1">
                  <c:v>2011-10</c:v>
                </c:pt>
                <c:pt idx="2">
                  <c:v>2011-11</c:v>
                </c:pt>
                <c:pt idx="3">
                  <c:v>2011-12</c:v>
                </c:pt>
                <c:pt idx="4">
                  <c:v>2012-01</c:v>
                </c:pt>
                <c:pt idx="5">
                  <c:v>2012-02</c:v>
                </c:pt>
                <c:pt idx="6">
                  <c:v>2012-03</c:v>
                </c:pt>
                <c:pt idx="7">
                  <c:v>2012-04</c:v>
                </c:pt>
                <c:pt idx="8">
                  <c:v>2012-06</c:v>
                </c:pt>
                <c:pt idx="9">
                  <c:v>2012-07</c:v>
                </c:pt>
                <c:pt idx="10">
                  <c:v>2012-08</c:v>
                </c:pt>
                <c:pt idx="11">
                  <c:v>2012-09</c:v>
                </c:pt>
                <c:pt idx="12">
                  <c:v>2012-10</c:v>
                </c:pt>
                <c:pt idx="13">
                  <c:v>2012-11</c:v>
                </c:pt>
                <c:pt idx="14">
                  <c:v>2012-12</c:v>
                </c:pt>
                <c:pt idx="15">
                  <c:v>2013-01</c:v>
                </c:pt>
                <c:pt idx="16">
                  <c:v>2013-02</c:v>
                </c:pt>
                <c:pt idx="17">
                  <c:v>2013-03</c:v>
                </c:pt>
                <c:pt idx="18">
                  <c:v>2013-04</c:v>
                </c:pt>
                <c:pt idx="19">
                  <c:v>2013-05</c:v>
                </c:pt>
                <c:pt idx="20">
                  <c:v>2013-06</c:v>
                </c:pt>
                <c:pt idx="21">
                  <c:v>2013-07</c:v>
                </c:pt>
                <c:pt idx="22">
                  <c:v>2013-08</c:v>
                </c:pt>
                <c:pt idx="23">
                  <c:v>2013-09</c:v>
                </c:pt>
              </c:strCache>
            </c:strRef>
          </c:cat>
          <c:val>
            <c:numRef>
              <c:f>zbožáky!$B$67:$Y$67</c:f>
              <c:numCache>
                <c:formatCode>#,##0\ "Kč"</c:formatCode>
                <c:ptCount val="24"/>
                <c:pt idx="0">
                  <c:v>378611.9818089403</c:v>
                </c:pt>
                <c:pt idx="1">
                  <c:v>226583.84756089072</c:v>
                </c:pt>
                <c:pt idx="2">
                  <c:v>520242.68165861693</c:v>
                </c:pt>
                <c:pt idx="3">
                  <c:v>544848.47586235311</c:v>
                </c:pt>
                <c:pt idx="4">
                  <c:v>682902.79427187843</c:v>
                </c:pt>
                <c:pt idx="5">
                  <c:v>413064.62379061425</c:v>
                </c:pt>
                <c:pt idx="6">
                  <c:v>315504.41421442339</c:v>
                </c:pt>
                <c:pt idx="7">
                  <c:v>549437.05546612095</c:v>
                </c:pt>
                <c:pt idx="8">
                  <c:v>820183.47975584806</c:v>
                </c:pt>
                <c:pt idx="9">
                  <c:v>746437.42248758592</c:v>
                </c:pt>
                <c:pt idx="10">
                  <c:v>665202.09282894619</c:v>
                </c:pt>
                <c:pt idx="11">
                  <c:v>374214.62641417398</c:v>
                </c:pt>
                <c:pt idx="12">
                  <c:v>196608.65295489351</c:v>
                </c:pt>
                <c:pt idx="13">
                  <c:v>712291.6657819656</c:v>
                </c:pt>
                <c:pt idx="14">
                  <c:v>614179.30784679204</c:v>
                </c:pt>
                <c:pt idx="15">
                  <c:v>797101.09143695515</c:v>
                </c:pt>
                <c:pt idx="16">
                  <c:v>407297.56359217101</c:v>
                </c:pt>
                <c:pt idx="17">
                  <c:v>221121.97556267513</c:v>
                </c:pt>
                <c:pt idx="18">
                  <c:v>616390.40105049254</c:v>
                </c:pt>
                <c:pt idx="19">
                  <c:v>829202.23247252021</c:v>
                </c:pt>
                <c:pt idx="20">
                  <c:v>720432.19338042964</c:v>
                </c:pt>
                <c:pt idx="21">
                  <c:v>1895297.2316603239</c:v>
                </c:pt>
                <c:pt idx="22">
                  <c:v>686287.65088847582</c:v>
                </c:pt>
                <c:pt idx="23">
                  <c:v>621330.07790679985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zbožáky!$A$72</c:f>
              <c:strCache>
                <c:ptCount val="1"/>
                <c:pt idx="0">
                  <c:v>zbozi - Obrat</c:v>
                </c:pt>
              </c:strCache>
            </c:strRef>
          </c:tx>
          <c:marker>
            <c:symbol val="none"/>
          </c:marker>
          <c:cat>
            <c:strRef>
              <c:f>zbožáky!$B$59:$Y$59</c:f>
              <c:strCache>
                <c:ptCount val="24"/>
                <c:pt idx="0">
                  <c:v>2011-09</c:v>
                </c:pt>
                <c:pt idx="1">
                  <c:v>2011-10</c:v>
                </c:pt>
                <c:pt idx="2">
                  <c:v>2011-11</c:v>
                </c:pt>
                <c:pt idx="3">
                  <c:v>2011-12</c:v>
                </c:pt>
                <c:pt idx="4">
                  <c:v>2012-01</c:v>
                </c:pt>
                <c:pt idx="5">
                  <c:v>2012-02</c:v>
                </c:pt>
                <c:pt idx="6">
                  <c:v>2012-03</c:v>
                </c:pt>
                <c:pt idx="7">
                  <c:v>2012-04</c:v>
                </c:pt>
                <c:pt idx="8">
                  <c:v>2012-06</c:v>
                </c:pt>
                <c:pt idx="9">
                  <c:v>2012-07</c:v>
                </c:pt>
                <c:pt idx="10">
                  <c:v>2012-08</c:v>
                </c:pt>
                <c:pt idx="11">
                  <c:v>2012-09</c:v>
                </c:pt>
                <c:pt idx="12">
                  <c:v>2012-10</c:v>
                </c:pt>
                <c:pt idx="13">
                  <c:v>2012-11</c:v>
                </c:pt>
                <c:pt idx="14">
                  <c:v>2012-12</c:v>
                </c:pt>
                <c:pt idx="15">
                  <c:v>2013-01</c:v>
                </c:pt>
                <c:pt idx="16">
                  <c:v>2013-02</c:v>
                </c:pt>
                <c:pt idx="17">
                  <c:v>2013-03</c:v>
                </c:pt>
                <c:pt idx="18">
                  <c:v>2013-04</c:v>
                </c:pt>
                <c:pt idx="19">
                  <c:v>2013-05</c:v>
                </c:pt>
                <c:pt idx="20">
                  <c:v>2013-06</c:v>
                </c:pt>
                <c:pt idx="21">
                  <c:v>2013-07</c:v>
                </c:pt>
                <c:pt idx="22">
                  <c:v>2013-08</c:v>
                </c:pt>
                <c:pt idx="23">
                  <c:v>2013-09</c:v>
                </c:pt>
              </c:strCache>
            </c:strRef>
          </c:cat>
          <c:val>
            <c:numRef>
              <c:f>zbožáky!$B$72:$Y$72</c:f>
              <c:numCache>
                <c:formatCode>#,##0\ "Kč"</c:formatCode>
                <c:ptCount val="24"/>
                <c:pt idx="0">
                  <c:v>444515.75140449969</c:v>
                </c:pt>
                <c:pt idx="1">
                  <c:v>537312.26792503858</c:v>
                </c:pt>
                <c:pt idx="2">
                  <c:v>431761.27779974358</c:v>
                </c:pt>
                <c:pt idx="3">
                  <c:v>437141.52849836077</c:v>
                </c:pt>
                <c:pt idx="4">
                  <c:v>396359.62661954848</c:v>
                </c:pt>
                <c:pt idx="5">
                  <c:v>507384.49429657543</c:v>
                </c:pt>
                <c:pt idx="6">
                  <c:v>410395.80568672228</c:v>
                </c:pt>
                <c:pt idx="7">
                  <c:v>450682.18164387561</c:v>
                </c:pt>
                <c:pt idx="8">
                  <c:v>560643.01513041381</c:v>
                </c:pt>
                <c:pt idx="9">
                  <c:v>538613.85612843046</c:v>
                </c:pt>
                <c:pt idx="10">
                  <c:v>496963.62873866345</c:v>
                </c:pt>
                <c:pt idx="11">
                  <c:v>304665.28764967294</c:v>
                </c:pt>
                <c:pt idx="12">
                  <c:v>227514.62437959085</c:v>
                </c:pt>
                <c:pt idx="13">
                  <c:v>357754.75969624473</c:v>
                </c:pt>
                <c:pt idx="14">
                  <c:v>615819.16448696272</c:v>
                </c:pt>
                <c:pt idx="15">
                  <c:v>347417.38914659881</c:v>
                </c:pt>
                <c:pt idx="16">
                  <c:v>402503.55636583344</c:v>
                </c:pt>
                <c:pt idx="17">
                  <c:v>297535.71497109911</c:v>
                </c:pt>
                <c:pt idx="18">
                  <c:v>222064.48928846529</c:v>
                </c:pt>
                <c:pt idx="19">
                  <c:v>350606.71894280741</c:v>
                </c:pt>
                <c:pt idx="20">
                  <c:v>329543.39415198198</c:v>
                </c:pt>
                <c:pt idx="21">
                  <c:v>457862.38922047522</c:v>
                </c:pt>
                <c:pt idx="22">
                  <c:v>359016.81085995521</c:v>
                </c:pt>
                <c:pt idx="23">
                  <c:v>134558.79699381077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zbožáky!$A$77</c:f>
              <c:strCache>
                <c:ptCount val="1"/>
                <c:pt idx="0">
                  <c:v>zbož-ost - Obrat</c:v>
                </c:pt>
              </c:strCache>
            </c:strRef>
          </c:tx>
          <c:marker>
            <c:symbol val="none"/>
          </c:marker>
          <c:val>
            <c:numRef>
              <c:f>zbožáky!$B$77:$Y$77</c:f>
              <c:numCache>
                <c:formatCode>#,##0\ "Kč"</c:formatCode>
                <c:ptCount val="24"/>
                <c:pt idx="0">
                  <c:v>59722.867776248415</c:v>
                </c:pt>
                <c:pt idx="1">
                  <c:v>101676.43506603446</c:v>
                </c:pt>
                <c:pt idx="2">
                  <c:v>63639.070269675387</c:v>
                </c:pt>
                <c:pt idx="3">
                  <c:v>71748.723582173465</c:v>
                </c:pt>
                <c:pt idx="4">
                  <c:v>57722.259433972096</c:v>
                </c:pt>
                <c:pt idx="5">
                  <c:v>82600.001130297329</c:v>
                </c:pt>
                <c:pt idx="6">
                  <c:v>58140.782530607314</c:v>
                </c:pt>
                <c:pt idx="7">
                  <c:v>31499.620686587841</c:v>
                </c:pt>
                <c:pt idx="8">
                  <c:v>39608.599738929493</c:v>
                </c:pt>
                <c:pt idx="9">
                  <c:v>76141.180076596385</c:v>
                </c:pt>
                <c:pt idx="10">
                  <c:v>39071.023887336021</c:v>
                </c:pt>
                <c:pt idx="11">
                  <c:v>24632.858436211358</c:v>
                </c:pt>
                <c:pt idx="12">
                  <c:v>137361.3842466372</c:v>
                </c:pt>
                <c:pt idx="13">
                  <c:v>44653.446212739291</c:v>
                </c:pt>
                <c:pt idx="14">
                  <c:v>98797.192640842943</c:v>
                </c:pt>
                <c:pt idx="15">
                  <c:v>47904.342816061224</c:v>
                </c:pt>
                <c:pt idx="16">
                  <c:v>59219.398213215172</c:v>
                </c:pt>
                <c:pt idx="17">
                  <c:v>39342.261151241823</c:v>
                </c:pt>
                <c:pt idx="18">
                  <c:v>27227.520171561766</c:v>
                </c:pt>
                <c:pt idx="19">
                  <c:v>26516.673983668934</c:v>
                </c:pt>
                <c:pt idx="20">
                  <c:v>39611.596313990813</c:v>
                </c:pt>
                <c:pt idx="21">
                  <c:v>21125.67068531672</c:v>
                </c:pt>
                <c:pt idx="22">
                  <c:v>54726.659446592421</c:v>
                </c:pt>
                <c:pt idx="23">
                  <c:v>35891.590446824041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586176"/>
        <c:axId val="178058304"/>
      </c:lineChart>
      <c:catAx>
        <c:axId val="145586176"/>
        <c:scaling>
          <c:orientation val="minMax"/>
        </c:scaling>
        <c:delete val="0"/>
        <c:axPos val="b"/>
        <c:majorTickMark val="none"/>
        <c:minorTickMark val="none"/>
        <c:tickLblPos val="nextTo"/>
        <c:crossAx val="178058304"/>
        <c:crosses val="autoZero"/>
        <c:auto val="1"/>
        <c:lblAlgn val="ctr"/>
        <c:lblOffset val="100"/>
        <c:noMultiLvlLbl val="0"/>
      </c:catAx>
      <c:valAx>
        <c:axId val="178058304"/>
        <c:scaling>
          <c:orientation val="minMax"/>
        </c:scaling>
        <c:delete val="0"/>
        <c:axPos val="l"/>
        <c:majorGridlines/>
        <c:numFmt formatCode="#,##0\ &quot;Kč&quot;" sourceLinked="1"/>
        <c:majorTickMark val="none"/>
        <c:minorTickMark val="none"/>
        <c:tickLblPos val="nextTo"/>
        <c:spPr>
          <a:ln w="9525">
            <a:noFill/>
          </a:ln>
        </c:spPr>
        <c:crossAx val="14558617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Návštěvy</a:t>
            </a:r>
            <a:r>
              <a:rPr lang="cs-CZ" baseline="0"/>
              <a:t> - kanály - loni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0438984098302131E-2"/>
          <c:y val="0.14106306383833225"/>
          <c:w val="0.95912203180339572"/>
          <c:h val="0.83071525895328902"/>
        </c:manualLayout>
      </c:layout>
      <c:pie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prehled!$Q$24:$Q$30</c:f>
              <c:strCache>
                <c:ptCount val="6"/>
                <c:pt idx="0">
                  <c:v>organic</c:v>
                </c:pt>
                <c:pt idx="1">
                  <c:v>cpc</c:v>
                </c:pt>
                <c:pt idx="2">
                  <c:v>zbožáky</c:v>
                </c:pt>
                <c:pt idx="3">
                  <c:v>direct</c:v>
                </c:pt>
                <c:pt idx="4">
                  <c:v>referral</c:v>
                </c:pt>
                <c:pt idx="5">
                  <c:v>massmail</c:v>
                </c:pt>
              </c:strCache>
            </c:strRef>
          </c:cat>
          <c:val>
            <c:numRef>
              <c:f>prehled!$R$24:$R$30</c:f>
              <c:numCache>
                <c:formatCode>#,##0</c:formatCode>
                <c:ptCount val="7"/>
                <c:pt idx="0">
                  <c:v>70470.322270727906</c:v>
                </c:pt>
                <c:pt idx="1">
                  <c:v>48071.729490653372</c:v>
                </c:pt>
                <c:pt idx="2">
                  <c:v>18529.955884242863</c:v>
                </c:pt>
                <c:pt idx="3">
                  <c:v>35520.023457343559</c:v>
                </c:pt>
                <c:pt idx="4">
                  <c:v>28821.019720576704</c:v>
                </c:pt>
                <c:pt idx="5">
                  <c:v>8445.8792165399827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Konverzní</a:t>
            </a:r>
            <a:r>
              <a:rPr lang="cs-CZ" baseline="0"/>
              <a:t> poměr</a:t>
            </a:r>
            <a:r>
              <a:rPr lang="cs-CZ"/>
              <a:t> - </a:t>
            </a:r>
            <a:r>
              <a:rPr lang="cs-CZ" sz="1800" b="1" i="0" u="none" strike="noStrike" baseline="0"/>
              <a:t>Heureka vs. zboží vs. ostatní</a:t>
            </a:r>
            <a:endParaRPr lang="cs-CZ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zbožáky!$A$68</c:f>
              <c:strCache>
                <c:ptCount val="1"/>
                <c:pt idx="0">
                  <c:v>heureka - KP</c:v>
                </c:pt>
              </c:strCache>
            </c:strRef>
          </c:tx>
          <c:marker>
            <c:symbol val="none"/>
          </c:marker>
          <c:cat>
            <c:strRef>
              <c:f>zbožáky!$B$59:$Y$59</c:f>
              <c:strCache>
                <c:ptCount val="24"/>
                <c:pt idx="0">
                  <c:v>2011-09</c:v>
                </c:pt>
                <c:pt idx="1">
                  <c:v>2011-10</c:v>
                </c:pt>
                <c:pt idx="2">
                  <c:v>2011-11</c:v>
                </c:pt>
                <c:pt idx="3">
                  <c:v>2011-12</c:v>
                </c:pt>
                <c:pt idx="4">
                  <c:v>2012-01</c:v>
                </c:pt>
                <c:pt idx="5">
                  <c:v>2012-02</c:v>
                </c:pt>
                <c:pt idx="6">
                  <c:v>2012-03</c:v>
                </c:pt>
                <c:pt idx="7">
                  <c:v>2012-04</c:v>
                </c:pt>
                <c:pt idx="8">
                  <c:v>2012-06</c:v>
                </c:pt>
                <c:pt idx="9">
                  <c:v>2012-07</c:v>
                </c:pt>
                <c:pt idx="10">
                  <c:v>2012-08</c:v>
                </c:pt>
                <c:pt idx="11">
                  <c:v>2012-09</c:v>
                </c:pt>
                <c:pt idx="12">
                  <c:v>2012-10</c:v>
                </c:pt>
                <c:pt idx="13">
                  <c:v>2012-11</c:v>
                </c:pt>
                <c:pt idx="14">
                  <c:v>2012-12</c:v>
                </c:pt>
                <c:pt idx="15">
                  <c:v>2013-01</c:v>
                </c:pt>
                <c:pt idx="16">
                  <c:v>2013-02</c:v>
                </c:pt>
                <c:pt idx="17">
                  <c:v>2013-03</c:v>
                </c:pt>
                <c:pt idx="18">
                  <c:v>2013-04</c:v>
                </c:pt>
                <c:pt idx="19">
                  <c:v>2013-05</c:v>
                </c:pt>
                <c:pt idx="20">
                  <c:v>2013-06</c:v>
                </c:pt>
                <c:pt idx="21">
                  <c:v>2013-07</c:v>
                </c:pt>
                <c:pt idx="22">
                  <c:v>2013-08</c:v>
                </c:pt>
                <c:pt idx="23">
                  <c:v>2013-09</c:v>
                </c:pt>
              </c:strCache>
            </c:strRef>
          </c:cat>
          <c:val>
            <c:numRef>
              <c:f>zbožáky!$B$68:$Y$68</c:f>
              <c:numCache>
                <c:formatCode>0.00%</c:formatCode>
                <c:ptCount val="24"/>
                <c:pt idx="0">
                  <c:v>3.5230250690369294E-2</c:v>
                </c:pt>
                <c:pt idx="1">
                  <c:v>3.3139385604385715E-2</c:v>
                </c:pt>
                <c:pt idx="2">
                  <c:v>2.4928589818420669E-2</c:v>
                </c:pt>
                <c:pt idx="3">
                  <c:v>4.8627560007639431E-2</c:v>
                </c:pt>
                <c:pt idx="4">
                  <c:v>5.0541788787373448E-2</c:v>
                </c:pt>
                <c:pt idx="5">
                  <c:v>5.07583981064249E-2</c:v>
                </c:pt>
                <c:pt idx="6">
                  <c:v>6.6818288621874833E-2</c:v>
                </c:pt>
                <c:pt idx="7">
                  <c:v>5.4521049889442466E-2</c:v>
                </c:pt>
                <c:pt idx="8">
                  <c:v>3.3284096180444075E-2</c:v>
                </c:pt>
                <c:pt idx="9">
                  <c:v>6.7501916006809742E-2</c:v>
                </c:pt>
                <c:pt idx="10">
                  <c:v>5.6417005048687817E-2</c:v>
                </c:pt>
                <c:pt idx="11">
                  <c:v>4.2303625758494549E-2</c:v>
                </c:pt>
                <c:pt idx="12">
                  <c:v>3.6116133189192962E-2</c:v>
                </c:pt>
                <c:pt idx="13">
                  <c:v>4.1185162625652125E-2</c:v>
                </c:pt>
                <c:pt idx="14">
                  <c:v>6.023280179583184E-2</c:v>
                </c:pt>
                <c:pt idx="15">
                  <c:v>3.8065550518857481E-2</c:v>
                </c:pt>
                <c:pt idx="16">
                  <c:v>3.1383393291508799E-2</c:v>
                </c:pt>
                <c:pt idx="17">
                  <c:v>2.5829696380859659E-2</c:v>
                </c:pt>
                <c:pt idx="18">
                  <c:v>2.7270815170149097E-2</c:v>
                </c:pt>
                <c:pt idx="19">
                  <c:v>3.4213614632860809E-2</c:v>
                </c:pt>
                <c:pt idx="20">
                  <c:v>3.9989222638647813E-2</c:v>
                </c:pt>
                <c:pt idx="21">
                  <c:v>7.2325183612399466E-2</c:v>
                </c:pt>
                <c:pt idx="22">
                  <c:v>6.2781266589863452E-2</c:v>
                </c:pt>
                <c:pt idx="23">
                  <c:v>5.9317401488342643E-2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zbožáky!$A$73</c:f>
              <c:strCache>
                <c:ptCount val="1"/>
                <c:pt idx="0">
                  <c:v>zbozi - KP</c:v>
                </c:pt>
              </c:strCache>
            </c:strRef>
          </c:tx>
          <c:marker>
            <c:symbol val="none"/>
          </c:marker>
          <c:cat>
            <c:strRef>
              <c:f>zbožáky!$B$59:$Y$59</c:f>
              <c:strCache>
                <c:ptCount val="24"/>
                <c:pt idx="0">
                  <c:v>2011-09</c:v>
                </c:pt>
                <c:pt idx="1">
                  <c:v>2011-10</c:v>
                </c:pt>
                <c:pt idx="2">
                  <c:v>2011-11</c:v>
                </c:pt>
                <c:pt idx="3">
                  <c:v>2011-12</c:v>
                </c:pt>
                <c:pt idx="4">
                  <c:v>2012-01</c:v>
                </c:pt>
                <c:pt idx="5">
                  <c:v>2012-02</c:v>
                </c:pt>
                <c:pt idx="6">
                  <c:v>2012-03</c:v>
                </c:pt>
                <c:pt idx="7">
                  <c:v>2012-04</c:v>
                </c:pt>
                <c:pt idx="8">
                  <c:v>2012-06</c:v>
                </c:pt>
                <c:pt idx="9">
                  <c:v>2012-07</c:v>
                </c:pt>
                <c:pt idx="10">
                  <c:v>2012-08</c:v>
                </c:pt>
                <c:pt idx="11">
                  <c:v>2012-09</c:v>
                </c:pt>
                <c:pt idx="12">
                  <c:v>2012-10</c:v>
                </c:pt>
                <c:pt idx="13">
                  <c:v>2012-11</c:v>
                </c:pt>
                <c:pt idx="14">
                  <c:v>2012-12</c:v>
                </c:pt>
                <c:pt idx="15">
                  <c:v>2013-01</c:v>
                </c:pt>
                <c:pt idx="16">
                  <c:v>2013-02</c:v>
                </c:pt>
                <c:pt idx="17">
                  <c:v>2013-03</c:v>
                </c:pt>
                <c:pt idx="18">
                  <c:v>2013-04</c:v>
                </c:pt>
                <c:pt idx="19">
                  <c:v>2013-05</c:v>
                </c:pt>
                <c:pt idx="20">
                  <c:v>2013-06</c:v>
                </c:pt>
                <c:pt idx="21">
                  <c:v>2013-07</c:v>
                </c:pt>
                <c:pt idx="22">
                  <c:v>2013-08</c:v>
                </c:pt>
                <c:pt idx="23">
                  <c:v>2013-09</c:v>
                </c:pt>
              </c:strCache>
            </c:strRef>
          </c:cat>
          <c:val>
            <c:numRef>
              <c:f>zbožáky!$B$73:$Y$73</c:f>
              <c:numCache>
                <c:formatCode>0.00%</c:formatCode>
                <c:ptCount val="24"/>
                <c:pt idx="0">
                  <c:v>1.6820945440726601E-2</c:v>
                </c:pt>
                <c:pt idx="1">
                  <c:v>2.5321438962719833E-2</c:v>
                </c:pt>
                <c:pt idx="2">
                  <c:v>3.7917783071336496E-2</c:v>
                </c:pt>
                <c:pt idx="3">
                  <c:v>3.5148415424858852E-2</c:v>
                </c:pt>
                <c:pt idx="4">
                  <c:v>1.8985351905020376E-2</c:v>
                </c:pt>
                <c:pt idx="5">
                  <c:v>2.7796519385652585E-2</c:v>
                </c:pt>
                <c:pt idx="6">
                  <c:v>2.2770848974660609E-2</c:v>
                </c:pt>
                <c:pt idx="7">
                  <c:v>2.7492188667334716E-2</c:v>
                </c:pt>
                <c:pt idx="8">
                  <c:v>3.9804005624435201E-2</c:v>
                </c:pt>
                <c:pt idx="9">
                  <c:v>3.3770419076572564E-2</c:v>
                </c:pt>
                <c:pt idx="10">
                  <c:v>3.9919848395590235E-2</c:v>
                </c:pt>
                <c:pt idx="11">
                  <c:v>2.4267619674320312E-2</c:v>
                </c:pt>
                <c:pt idx="12">
                  <c:v>4.0138346085817227E-2</c:v>
                </c:pt>
                <c:pt idx="13">
                  <c:v>2.6109508033379605E-2</c:v>
                </c:pt>
                <c:pt idx="14">
                  <c:v>4.4749114415993808E-2</c:v>
                </c:pt>
                <c:pt idx="15">
                  <c:v>3.1966251109705197E-2</c:v>
                </c:pt>
                <c:pt idx="16">
                  <c:v>3.8164009193635974E-2</c:v>
                </c:pt>
                <c:pt idx="17">
                  <c:v>3.6676798089579181E-2</c:v>
                </c:pt>
                <c:pt idx="18">
                  <c:v>1.8999606547285997E-2</c:v>
                </c:pt>
                <c:pt idx="19">
                  <c:v>3.6745832141757875E-2</c:v>
                </c:pt>
                <c:pt idx="20">
                  <c:v>4.4188050843979476E-2</c:v>
                </c:pt>
                <c:pt idx="21">
                  <c:v>4.6273913801919413E-2</c:v>
                </c:pt>
                <c:pt idx="22">
                  <c:v>2.3697906611197854E-2</c:v>
                </c:pt>
                <c:pt idx="23">
                  <c:v>2.2708693078198238E-2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zbožáky!$A$78</c:f>
              <c:strCache>
                <c:ptCount val="1"/>
                <c:pt idx="0">
                  <c:v>zbož-ost - KP</c:v>
                </c:pt>
              </c:strCache>
            </c:strRef>
          </c:tx>
          <c:marker>
            <c:symbol val="none"/>
          </c:marker>
          <c:val>
            <c:numRef>
              <c:f>zbožáky!$B$78:$Y$78</c:f>
              <c:numCache>
                <c:formatCode>0.00%</c:formatCode>
                <c:ptCount val="24"/>
                <c:pt idx="0">
                  <c:v>2.2078546361890106E-2</c:v>
                </c:pt>
                <c:pt idx="1">
                  <c:v>1.822670628214438E-2</c:v>
                </c:pt>
                <c:pt idx="2">
                  <c:v>2.731776116324602E-2</c:v>
                </c:pt>
                <c:pt idx="3">
                  <c:v>1.7628626834021829E-2</c:v>
                </c:pt>
                <c:pt idx="4">
                  <c:v>1.6704728519596951E-2</c:v>
                </c:pt>
                <c:pt idx="5">
                  <c:v>1.918861578958931E-2</c:v>
                </c:pt>
                <c:pt idx="6">
                  <c:v>1.2455002800182625E-2</c:v>
                </c:pt>
                <c:pt idx="7">
                  <c:v>1.0325260281383452E-2</c:v>
                </c:pt>
                <c:pt idx="8">
                  <c:v>9.9978386640241015E-3</c:v>
                </c:pt>
                <c:pt idx="9">
                  <c:v>1.6386095087782018E-2</c:v>
                </c:pt>
                <c:pt idx="10">
                  <c:v>1.7860153391427019E-2</c:v>
                </c:pt>
                <c:pt idx="11">
                  <c:v>1.5687109066201417E-2</c:v>
                </c:pt>
                <c:pt idx="12">
                  <c:v>1.5146855715800512E-2</c:v>
                </c:pt>
                <c:pt idx="13">
                  <c:v>1.431535631724587E-2</c:v>
                </c:pt>
                <c:pt idx="14">
                  <c:v>2.776426499294532E-2</c:v>
                </c:pt>
                <c:pt idx="15">
                  <c:v>1.1996998076902018E-2</c:v>
                </c:pt>
                <c:pt idx="16">
                  <c:v>1.497543358172624E-2</c:v>
                </c:pt>
                <c:pt idx="17">
                  <c:v>1.4619793011464563E-2</c:v>
                </c:pt>
                <c:pt idx="18">
                  <c:v>1.5742441403012737E-2</c:v>
                </c:pt>
                <c:pt idx="19">
                  <c:v>1.0774539581034652E-2</c:v>
                </c:pt>
                <c:pt idx="20">
                  <c:v>1.7653962811169509E-2</c:v>
                </c:pt>
                <c:pt idx="21">
                  <c:v>1.5527755321950769E-2</c:v>
                </c:pt>
                <c:pt idx="22">
                  <c:v>1.7544136627880975E-2</c:v>
                </c:pt>
                <c:pt idx="23">
                  <c:v>2.2188116270487199E-2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587712"/>
        <c:axId val="178060608"/>
      </c:lineChart>
      <c:catAx>
        <c:axId val="145587712"/>
        <c:scaling>
          <c:orientation val="minMax"/>
        </c:scaling>
        <c:delete val="0"/>
        <c:axPos val="b"/>
        <c:majorTickMark val="none"/>
        <c:minorTickMark val="none"/>
        <c:tickLblPos val="nextTo"/>
        <c:crossAx val="178060608"/>
        <c:crosses val="autoZero"/>
        <c:auto val="1"/>
        <c:lblAlgn val="ctr"/>
        <c:lblOffset val="100"/>
        <c:noMultiLvlLbl val="0"/>
      </c:catAx>
      <c:valAx>
        <c:axId val="178060608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spPr>
          <a:ln w="9525">
            <a:noFill/>
          </a:ln>
        </c:spPr>
        <c:crossAx val="14558771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Cena za transakci - Heureka vs. zboží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zbožáky!$A$82</c:f>
              <c:strCache>
                <c:ptCount val="1"/>
                <c:pt idx="0">
                  <c:v>Heureka-cena za transakci</c:v>
                </c:pt>
              </c:strCache>
            </c:strRef>
          </c:tx>
          <c:marker>
            <c:symbol val="none"/>
          </c:marker>
          <c:cat>
            <c:strRef>
              <c:f>zbožáky!$B$59:$Y$59</c:f>
              <c:strCache>
                <c:ptCount val="24"/>
                <c:pt idx="0">
                  <c:v>2011-09</c:v>
                </c:pt>
                <c:pt idx="1">
                  <c:v>2011-10</c:v>
                </c:pt>
                <c:pt idx="2">
                  <c:v>2011-11</c:v>
                </c:pt>
                <c:pt idx="3">
                  <c:v>2011-12</c:v>
                </c:pt>
                <c:pt idx="4">
                  <c:v>2012-01</c:v>
                </c:pt>
                <c:pt idx="5">
                  <c:v>2012-02</c:v>
                </c:pt>
                <c:pt idx="6">
                  <c:v>2012-03</c:v>
                </c:pt>
                <c:pt idx="7">
                  <c:v>2012-04</c:v>
                </c:pt>
                <c:pt idx="8">
                  <c:v>2012-06</c:v>
                </c:pt>
                <c:pt idx="9">
                  <c:v>2012-07</c:v>
                </c:pt>
                <c:pt idx="10">
                  <c:v>2012-08</c:v>
                </c:pt>
                <c:pt idx="11">
                  <c:v>2012-09</c:v>
                </c:pt>
                <c:pt idx="12">
                  <c:v>2012-10</c:v>
                </c:pt>
                <c:pt idx="13">
                  <c:v>2012-11</c:v>
                </c:pt>
                <c:pt idx="14">
                  <c:v>2012-12</c:v>
                </c:pt>
                <c:pt idx="15">
                  <c:v>2013-01</c:v>
                </c:pt>
                <c:pt idx="16">
                  <c:v>2013-02</c:v>
                </c:pt>
                <c:pt idx="17">
                  <c:v>2013-03</c:v>
                </c:pt>
                <c:pt idx="18">
                  <c:v>2013-04</c:v>
                </c:pt>
                <c:pt idx="19">
                  <c:v>2013-05</c:v>
                </c:pt>
                <c:pt idx="20">
                  <c:v>2013-06</c:v>
                </c:pt>
                <c:pt idx="21">
                  <c:v>2013-07</c:v>
                </c:pt>
                <c:pt idx="22">
                  <c:v>2013-08</c:v>
                </c:pt>
                <c:pt idx="23">
                  <c:v>2013-09</c:v>
                </c:pt>
              </c:strCache>
            </c:strRef>
          </c:cat>
          <c:val>
            <c:numRef>
              <c:f>zbožáky!$B$82:$Y$82</c:f>
              <c:numCache>
                <c:formatCode>#,##0\ "Kč"</c:formatCode>
                <c:ptCount val="24"/>
                <c:pt idx="0">
                  <c:v>36.606097449592831</c:v>
                </c:pt>
                <c:pt idx="1">
                  <c:v>33.146268872789747</c:v>
                </c:pt>
                <c:pt idx="2">
                  <c:v>50.745549759374327</c:v>
                </c:pt>
                <c:pt idx="3">
                  <c:v>29.151944410006241</c:v>
                </c:pt>
                <c:pt idx="4">
                  <c:v>34.537289990341868</c:v>
                </c:pt>
                <c:pt idx="5">
                  <c:v>41.658584361384179</c:v>
                </c:pt>
                <c:pt idx="6">
                  <c:v>40.90537960306029</c:v>
                </c:pt>
                <c:pt idx="7">
                  <c:v>26.503054820142932</c:v>
                </c:pt>
                <c:pt idx="8">
                  <c:v>43.121331691546281</c:v>
                </c:pt>
                <c:pt idx="9">
                  <c:v>20.179260787384045</c:v>
                </c:pt>
                <c:pt idx="10">
                  <c:v>30.516200105796425</c:v>
                </c:pt>
                <c:pt idx="11">
                  <c:v>32.468415879076531</c:v>
                </c:pt>
                <c:pt idx="12">
                  <c:v>38.899055302202157</c:v>
                </c:pt>
                <c:pt idx="13">
                  <c:v>21.518503350907437</c:v>
                </c:pt>
                <c:pt idx="14">
                  <c:v>16.414029635963448</c:v>
                </c:pt>
                <c:pt idx="15">
                  <c:v>64.937122158976067</c:v>
                </c:pt>
                <c:pt idx="16">
                  <c:v>26.673053675341151</c:v>
                </c:pt>
                <c:pt idx="17">
                  <c:v>46.385520685555036</c:v>
                </c:pt>
                <c:pt idx="18">
                  <c:v>44.67157542211379</c:v>
                </c:pt>
                <c:pt idx="19">
                  <c:v>76.077452329724139</c:v>
                </c:pt>
                <c:pt idx="20">
                  <c:v>122.92476528924246</c:v>
                </c:pt>
                <c:pt idx="21">
                  <c:v>40.408293708873032</c:v>
                </c:pt>
                <c:pt idx="22">
                  <c:v>69.870274528535177</c:v>
                </c:pt>
                <c:pt idx="23">
                  <c:v>59.362906124869291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zbožáky!$A$84</c:f>
              <c:strCache>
                <c:ptCount val="1"/>
                <c:pt idx="0">
                  <c:v>Zboží-cena za transakci</c:v>
                </c:pt>
              </c:strCache>
            </c:strRef>
          </c:tx>
          <c:marker>
            <c:symbol val="none"/>
          </c:marker>
          <c:cat>
            <c:strRef>
              <c:f>zbožáky!$B$59:$Y$59</c:f>
              <c:strCache>
                <c:ptCount val="24"/>
                <c:pt idx="0">
                  <c:v>2011-09</c:v>
                </c:pt>
                <c:pt idx="1">
                  <c:v>2011-10</c:v>
                </c:pt>
                <c:pt idx="2">
                  <c:v>2011-11</c:v>
                </c:pt>
                <c:pt idx="3">
                  <c:v>2011-12</c:v>
                </c:pt>
                <c:pt idx="4">
                  <c:v>2012-01</c:v>
                </c:pt>
                <c:pt idx="5">
                  <c:v>2012-02</c:v>
                </c:pt>
                <c:pt idx="6">
                  <c:v>2012-03</c:v>
                </c:pt>
                <c:pt idx="7">
                  <c:v>2012-04</c:v>
                </c:pt>
                <c:pt idx="8">
                  <c:v>2012-06</c:v>
                </c:pt>
                <c:pt idx="9">
                  <c:v>2012-07</c:v>
                </c:pt>
                <c:pt idx="10">
                  <c:v>2012-08</c:v>
                </c:pt>
                <c:pt idx="11">
                  <c:v>2012-09</c:v>
                </c:pt>
                <c:pt idx="12">
                  <c:v>2012-10</c:v>
                </c:pt>
                <c:pt idx="13">
                  <c:v>2012-11</c:v>
                </c:pt>
                <c:pt idx="14">
                  <c:v>2012-12</c:v>
                </c:pt>
                <c:pt idx="15">
                  <c:v>2013-01</c:v>
                </c:pt>
                <c:pt idx="16">
                  <c:v>2013-02</c:v>
                </c:pt>
                <c:pt idx="17">
                  <c:v>2013-03</c:v>
                </c:pt>
                <c:pt idx="18">
                  <c:v>2013-04</c:v>
                </c:pt>
                <c:pt idx="19">
                  <c:v>2013-05</c:v>
                </c:pt>
                <c:pt idx="20">
                  <c:v>2013-06</c:v>
                </c:pt>
                <c:pt idx="21">
                  <c:v>2013-07</c:v>
                </c:pt>
                <c:pt idx="22">
                  <c:v>2013-08</c:v>
                </c:pt>
                <c:pt idx="23">
                  <c:v>2013-09</c:v>
                </c:pt>
              </c:strCache>
            </c:strRef>
          </c:cat>
          <c:val>
            <c:numRef>
              <c:f>zbožáky!$B$84:$Y$84</c:f>
              <c:numCache>
                <c:formatCode>#,##0\ "Kč"</c:formatCode>
                <c:ptCount val="24"/>
                <c:pt idx="0">
                  <c:v>29.150104551839135</c:v>
                </c:pt>
                <c:pt idx="1">
                  <c:v>22.316015046596615</c:v>
                </c:pt>
                <c:pt idx="2">
                  <c:v>24.140847098506367</c:v>
                </c:pt>
                <c:pt idx="3">
                  <c:v>38.428563448406074</c:v>
                </c:pt>
                <c:pt idx="4">
                  <c:v>49.090430375890058</c:v>
                </c:pt>
                <c:pt idx="5">
                  <c:v>30.426346876131507</c:v>
                </c:pt>
                <c:pt idx="6">
                  <c:v>35.522947302494288</c:v>
                </c:pt>
                <c:pt idx="7">
                  <c:v>41.877533339247769</c:v>
                </c:pt>
                <c:pt idx="8">
                  <c:v>19.729294973973275</c:v>
                </c:pt>
                <c:pt idx="9">
                  <c:v>21.268884847139677</c:v>
                </c:pt>
                <c:pt idx="10">
                  <c:v>36.560497009349852</c:v>
                </c:pt>
                <c:pt idx="11">
                  <c:v>47.137243251090425</c:v>
                </c:pt>
                <c:pt idx="12">
                  <c:v>28.097196259145374</c:v>
                </c:pt>
                <c:pt idx="13">
                  <c:v>51.379299002076145</c:v>
                </c:pt>
                <c:pt idx="14">
                  <c:v>13.095991208566188</c:v>
                </c:pt>
                <c:pt idx="15">
                  <c:v>23.054397971642675</c:v>
                </c:pt>
                <c:pt idx="16">
                  <c:v>35.179785995574697</c:v>
                </c:pt>
                <c:pt idx="17">
                  <c:v>29.545756812504123</c:v>
                </c:pt>
                <c:pt idx="18">
                  <c:v>47.512033905309536</c:v>
                </c:pt>
                <c:pt idx="19">
                  <c:v>31.4907189680223</c:v>
                </c:pt>
                <c:pt idx="20">
                  <c:v>29.983862457660823</c:v>
                </c:pt>
                <c:pt idx="21">
                  <c:v>48.177135885836414</c:v>
                </c:pt>
                <c:pt idx="22">
                  <c:v>44.440312175291815</c:v>
                </c:pt>
                <c:pt idx="23">
                  <c:v>65.182761699761969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581504"/>
        <c:axId val="178054848"/>
      </c:lineChart>
      <c:catAx>
        <c:axId val="178581504"/>
        <c:scaling>
          <c:orientation val="minMax"/>
        </c:scaling>
        <c:delete val="0"/>
        <c:axPos val="b"/>
        <c:majorTickMark val="none"/>
        <c:minorTickMark val="none"/>
        <c:tickLblPos val="nextTo"/>
        <c:crossAx val="178054848"/>
        <c:crosses val="autoZero"/>
        <c:auto val="1"/>
        <c:lblAlgn val="ctr"/>
        <c:lblOffset val="100"/>
        <c:noMultiLvlLbl val="0"/>
      </c:catAx>
      <c:valAx>
        <c:axId val="178054848"/>
        <c:scaling>
          <c:orientation val="minMax"/>
        </c:scaling>
        <c:delete val="0"/>
        <c:axPos val="l"/>
        <c:majorGridlines/>
        <c:numFmt formatCode="#,##0\ &quot;Kč&quot;" sourceLinked="1"/>
        <c:majorTickMark val="none"/>
        <c:minorTickMark val="none"/>
        <c:tickLblPos val="nextTo"/>
        <c:spPr>
          <a:ln w="9525">
            <a:noFill/>
          </a:ln>
        </c:spPr>
        <c:crossAx val="17858150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Podíl nákladů na obratu - Heureka vs. zboží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zbožáky!$A$83</c:f>
              <c:strCache>
                <c:ptCount val="1"/>
                <c:pt idx="0">
                  <c:v>Heureka-podíl nákl.na obratu</c:v>
                </c:pt>
              </c:strCache>
            </c:strRef>
          </c:tx>
          <c:marker>
            <c:symbol val="none"/>
          </c:marker>
          <c:cat>
            <c:strRef>
              <c:f>zbožáky!$B$59:$Y$59</c:f>
              <c:strCache>
                <c:ptCount val="24"/>
                <c:pt idx="0">
                  <c:v>2011-09</c:v>
                </c:pt>
                <c:pt idx="1">
                  <c:v>2011-10</c:v>
                </c:pt>
                <c:pt idx="2">
                  <c:v>2011-11</c:v>
                </c:pt>
                <c:pt idx="3">
                  <c:v>2011-12</c:v>
                </c:pt>
                <c:pt idx="4">
                  <c:v>2012-01</c:v>
                </c:pt>
                <c:pt idx="5">
                  <c:v>2012-02</c:v>
                </c:pt>
                <c:pt idx="6">
                  <c:v>2012-03</c:v>
                </c:pt>
                <c:pt idx="7">
                  <c:v>2012-04</c:v>
                </c:pt>
                <c:pt idx="8">
                  <c:v>2012-06</c:v>
                </c:pt>
                <c:pt idx="9">
                  <c:v>2012-07</c:v>
                </c:pt>
                <c:pt idx="10">
                  <c:v>2012-08</c:v>
                </c:pt>
                <c:pt idx="11">
                  <c:v>2012-09</c:v>
                </c:pt>
                <c:pt idx="12">
                  <c:v>2012-10</c:v>
                </c:pt>
                <c:pt idx="13">
                  <c:v>2012-11</c:v>
                </c:pt>
                <c:pt idx="14">
                  <c:v>2012-12</c:v>
                </c:pt>
                <c:pt idx="15">
                  <c:v>2013-01</c:v>
                </c:pt>
                <c:pt idx="16">
                  <c:v>2013-02</c:v>
                </c:pt>
                <c:pt idx="17">
                  <c:v>2013-03</c:v>
                </c:pt>
                <c:pt idx="18">
                  <c:v>2013-04</c:v>
                </c:pt>
                <c:pt idx="19">
                  <c:v>2013-05</c:v>
                </c:pt>
                <c:pt idx="20">
                  <c:v>2013-06</c:v>
                </c:pt>
                <c:pt idx="21">
                  <c:v>2013-07</c:v>
                </c:pt>
                <c:pt idx="22">
                  <c:v>2013-08</c:v>
                </c:pt>
                <c:pt idx="23">
                  <c:v>2013-09</c:v>
                </c:pt>
              </c:strCache>
            </c:strRef>
          </c:cat>
          <c:val>
            <c:numRef>
              <c:f>zbožáky!$B$83:$Y$83</c:f>
              <c:numCache>
                <c:formatCode>0.00%</c:formatCode>
                <c:ptCount val="24"/>
                <c:pt idx="0">
                  <c:v>1.6306095033691761E-2</c:v>
                </c:pt>
                <c:pt idx="1">
                  <c:v>1.5136260019861562E-2</c:v>
                </c:pt>
                <c:pt idx="2">
                  <c:v>1.8115089598151293E-2</c:v>
                </c:pt>
                <c:pt idx="3">
                  <c:v>3.4372203306922956E-2</c:v>
                </c:pt>
                <c:pt idx="4">
                  <c:v>1.5404683553088949E-2</c:v>
                </c:pt>
                <c:pt idx="5">
                  <c:v>3.4653075939937127E-2</c:v>
                </c:pt>
                <c:pt idx="6">
                  <c:v>4.5108839265163056E-2</c:v>
                </c:pt>
                <c:pt idx="7">
                  <c:v>1.8768819907516627E-2</c:v>
                </c:pt>
                <c:pt idx="8">
                  <c:v>1.285501216305408E-2</c:v>
                </c:pt>
                <c:pt idx="9">
                  <c:v>1.0613737897029994E-2</c:v>
                </c:pt>
                <c:pt idx="10">
                  <c:v>1.792547036600212E-2</c:v>
                </c:pt>
                <c:pt idx="11">
                  <c:v>1.7699872252032362E-2</c:v>
                </c:pt>
                <c:pt idx="12">
                  <c:v>4.2251088572677648E-2</c:v>
                </c:pt>
                <c:pt idx="13">
                  <c:v>1.6940951204154335E-2</c:v>
                </c:pt>
                <c:pt idx="14">
                  <c:v>1.8861488013576781E-2</c:v>
                </c:pt>
                <c:pt idx="15">
                  <c:v>2.2848716973024541E-2</c:v>
                </c:pt>
                <c:pt idx="16">
                  <c:v>1.7111120358665039E-2</c:v>
                </c:pt>
                <c:pt idx="17">
                  <c:v>3.9779200097180785E-2</c:v>
                </c:pt>
                <c:pt idx="18">
                  <c:v>1.8366774610970225E-2</c:v>
                </c:pt>
                <c:pt idx="19">
                  <c:v>3.2057326410646056E-2</c:v>
                </c:pt>
                <c:pt idx="20">
                  <c:v>4.1757825165348261E-2</c:v>
                </c:pt>
                <c:pt idx="21">
                  <c:v>1.6227009689023467E-2</c:v>
                </c:pt>
                <c:pt idx="22">
                  <c:v>3.8625666694947838E-2</c:v>
                </c:pt>
                <c:pt idx="23">
                  <c:v>2.2143434949535551E-2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zbožáky!$A$85</c:f>
              <c:strCache>
                <c:ptCount val="1"/>
                <c:pt idx="0">
                  <c:v>Zboží-podíl nákl.na obratu</c:v>
                </c:pt>
              </c:strCache>
            </c:strRef>
          </c:tx>
          <c:marker>
            <c:symbol val="none"/>
          </c:marker>
          <c:cat>
            <c:strRef>
              <c:f>zbožáky!$B$59:$Y$59</c:f>
              <c:strCache>
                <c:ptCount val="24"/>
                <c:pt idx="0">
                  <c:v>2011-09</c:v>
                </c:pt>
                <c:pt idx="1">
                  <c:v>2011-10</c:v>
                </c:pt>
                <c:pt idx="2">
                  <c:v>2011-11</c:v>
                </c:pt>
                <c:pt idx="3">
                  <c:v>2011-12</c:v>
                </c:pt>
                <c:pt idx="4">
                  <c:v>2012-01</c:v>
                </c:pt>
                <c:pt idx="5">
                  <c:v>2012-02</c:v>
                </c:pt>
                <c:pt idx="6">
                  <c:v>2012-03</c:v>
                </c:pt>
                <c:pt idx="7">
                  <c:v>2012-04</c:v>
                </c:pt>
                <c:pt idx="8">
                  <c:v>2012-06</c:v>
                </c:pt>
                <c:pt idx="9">
                  <c:v>2012-07</c:v>
                </c:pt>
                <c:pt idx="10">
                  <c:v>2012-08</c:v>
                </c:pt>
                <c:pt idx="11">
                  <c:v>2012-09</c:v>
                </c:pt>
                <c:pt idx="12">
                  <c:v>2012-10</c:v>
                </c:pt>
                <c:pt idx="13">
                  <c:v>2012-11</c:v>
                </c:pt>
                <c:pt idx="14">
                  <c:v>2012-12</c:v>
                </c:pt>
                <c:pt idx="15">
                  <c:v>2013-01</c:v>
                </c:pt>
                <c:pt idx="16">
                  <c:v>2013-02</c:v>
                </c:pt>
                <c:pt idx="17">
                  <c:v>2013-03</c:v>
                </c:pt>
                <c:pt idx="18">
                  <c:v>2013-04</c:v>
                </c:pt>
                <c:pt idx="19">
                  <c:v>2013-05</c:v>
                </c:pt>
                <c:pt idx="20">
                  <c:v>2013-06</c:v>
                </c:pt>
                <c:pt idx="21">
                  <c:v>2013-07</c:v>
                </c:pt>
                <c:pt idx="22">
                  <c:v>2013-08</c:v>
                </c:pt>
                <c:pt idx="23">
                  <c:v>2013-09</c:v>
                </c:pt>
              </c:strCache>
            </c:strRef>
          </c:cat>
          <c:val>
            <c:numRef>
              <c:f>zbožáky!$B$85:$Y$85</c:f>
              <c:numCache>
                <c:formatCode>0.00%</c:formatCode>
                <c:ptCount val="24"/>
                <c:pt idx="0">
                  <c:v>1.3844172073928181E-2</c:v>
                </c:pt>
                <c:pt idx="1">
                  <c:v>1.220059628100546E-2</c:v>
                </c:pt>
                <c:pt idx="2">
                  <c:v>2.2742793478953145E-2</c:v>
                </c:pt>
                <c:pt idx="3">
                  <c:v>4.2140482308661478E-2</c:v>
                </c:pt>
                <c:pt idx="4">
                  <c:v>3.4102723661682072E-2</c:v>
                </c:pt>
                <c:pt idx="5">
                  <c:v>2.4377152766706694E-2</c:v>
                </c:pt>
                <c:pt idx="6">
                  <c:v>3.0087010384063088E-2</c:v>
                </c:pt>
                <c:pt idx="7">
                  <c:v>1.9722202668045048E-2</c:v>
                </c:pt>
                <c:pt idx="8">
                  <c:v>1.1189216799845502E-2</c:v>
                </c:pt>
                <c:pt idx="9">
                  <c:v>9.5583914060148774E-3</c:v>
                </c:pt>
                <c:pt idx="10">
                  <c:v>1.8622764614385799E-2</c:v>
                </c:pt>
                <c:pt idx="11">
                  <c:v>2.527609437569641E-2</c:v>
                </c:pt>
                <c:pt idx="12">
                  <c:v>3.1471936067294135E-2</c:v>
                </c:pt>
                <c:pt idx="13">
                  <c:v>3.3164041553332808E-2</c:v>
                </c:pt>
                <c:pt idx="14">
                  <c:v>1.1292208955418666E-2</c:v>
                </c:pt>
                <c:pt idx="15">
                  <c:v>2.2247550740129844E-2</c:v>
                </c:pt>
                <c:pt idx="16">
                  <c:v>1.9445522459375947E-2</c:v>
                </c:pt>
                <c:pt idx="17">
                  <c:v>2.2999013550261214E-2</c:v>
                </c:pt>
                <c:pt idx="18">
                  <c:v>2.9931550111142975E-2</c:v>
                </c:pt>
                <c:pt idx="19">
                  <c:v>1.5937410052090595E-2</c:v>
                </c:pt>
                <c:pt idx="20">
                  <c:v>1.4776596586880119E-2</c:v>
                </c:pt>
                <c:pt idx="21">
                  <c:v>4.0205076187651949E-2</c:v>
                </c:pt>
                <c:pt idx="22">
                  <c:v>2.3236124687147267E-2</c:v>
                </c:pt>
                <c:pt idx="23">
                  <c:v>6.1906038148918187E-2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582016"/>
        <c:axId val="178613632"/>
      </c:lineChart>
      <c:catAx>
        <c:axId val="178582016"/>
        <c:scaling>
          <c:orientation val="minMax"/>
        </c:scaling>
        <c:delete val="0"/>
        <c:axPos val="b"/>
        <c:majorTickMark val="none"/>
        <c:minorTickMark val="none"/>
        <c:tickLblPos val="nextTo"/>
        <c:crossAx val="178613632"/>
        <c:crosses val="autoZero"/>
        <c:auto val="1"/>
        <c:lblAlgn val="ctr"/>
        <c:lblOffset val="100"/>
        <c:noMultiLvlLbl val="0"/>
      </c:catAx>
      <c:valAx>
        <c:axId val="178613632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spPr>
          <a:ln w="9525">
            <a:noFill/>
          </a:ln>
        </c:spPr>
        <c:crossAx val="17858201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Průměrná cena objednávky - </a:t>
            </a:r>
            <a:r>
              <a:rPr lang="cs-CZ" sz="1800" b="1" i="0" u="none" strike="noStrike" baseline="0"/>
              <a:t>Heureka vs. zboží vs. ostatní</a:t>
            </a:r>
            <a:endParaRPr lang="cs-CZ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zbožáky!$A$69</c:f>
              <c:strCache>
                <c:ptCount val="1"/>
                <c:pt idx="0">
                  <c:v>heureka - PCO</c:v>
                </c:pt>
              </c:strCache>
            </c:strRef>
          </c:tx>
          <c:marker>
            <c:symbol val="none"/>
          </c:marker>
          <c:cat>
            <c:strRef>
              <c:f>zbožáky!$B$59:$Y$59</c:f>
              <c:strCache>
                <c:ptCount val="24"/>
                <c:pt idx="0">
                  <c:v>2011-09</c:v>
                </c:pt>
                <c:pt idx="1">
                  <c:v>2011-10</c:v>
                </c:pt>
                <c:pt idx="2">
                  <c:v>2011-11</c:v>
                </c:pt>
                <c:pt idx="3">
                  <c:v>2011-12</c:v>
                </c:pt>
                <c:pt idx="4">
                  <c:v>2012-01</c:v>
                </c:pt>
                <c:pt idx="5">
                  <c:v>2012-02</c:v>
                </c:pt>
                <c:pt idx="6">
                  <c:v>2012-03</c:v>
                </c:pt>
                <c:pt idx="7">
                  <c:v>2012-04</c:v>
                </c:pt>
                <c:pt idx="8">
                  <c:v>2012-06</c:v>
                </c:pt>
                <c:pt idx="9">
                  <c:v>2012-07</c:v>
                </c:pt>
                <c:pt idx="10">
                  <c:v>2012-08</c:v>
                </c:pt>
                <c:pt idx="11">
                  <c:v>2012-09</c:v>
                </c:pt>
                <c:pt idx="12">
                  <c:v>2012-10</c:v>
                </c:pt>
                <c:pt idx="13">
                  <c:v>2012-11</c:v>
                </c:pt>
                <c:pt idx="14">
                  <c:v>2012-12</c:v>
                </c:pt>
                <c:pt idx="15">
                  <c:v>2013-01</c:v>
                </c:pt>
                <c:pt idx="16">
                  <c:v>2013-02</c:v>
                </c:pt>
                <c:pt idx="17">
                  <c:v>2013-03</c:v>
                </c:pt>
                <c:pt idx="18">
                  <c:v>2013-04</c:v>
                </c:pt>
                <c:pt idx="19">
                  <c:v>2013-05</c:v>
                </c:pt>
                <c:pt idx="20">
                  <c:v>2013-06</c:v>
                </c:pt>
                <c:pt idx="21">
                  <c:v>2013-07</c:v>
                </c:pt>
                <c:pt idx="22">
                  <c:v>2013-08</c:v>
                </c:pt>
                <c:pt idx="23">
                  <c:v>2013-09</c:v>
                </c:pt>
              </c:strCache>
            </c:strRef>
          </c:cat>
          <c:val>
            <c:numRef>
              <c:f>zbožáky!$B$69:$Y$69</c:f>
              <c:numCache>
                <c:formatCode>#,##0\ "Kč"</c:formatCode>
                <c:ptCount val="24"/>
                <c:pt idx="0">
                  <c:v>2244.9334052056652</c:v>
                </c:pt>
                <c:pt idx="1">
                  <c:v>2189.8585799461516</c:v>
                </c:pt>
                <c:pt idx="2">
                  <c:v>2801.2861589463564</c:v>
                </c:pt>
                <c:pt idx="3">
                  <c:v>848.125566746392</c:v>
                </c:pt>
                <c:pt idx="4">
                  <c:v>2241.9993160727045</c:v>
                </c:pt>
                <c:pt idx="5">
                  <c:v>1202.161229023058</c:v>
                </c:pt>
                <c:pt idx="6">
                  <c:v>906.81516681478797</c:v>
                </c:pt>
                <c:pt idx="7">
                  <c:v>1412.0789133646522</c:v>
                </c:pt>
                <c:pt idx="8">
                  <c:v>3354.4372533134629</c:v>
                </c:pt>
                <c:pt idx="9">
                  <c:v>1901.2397878254317</c:v>
                </c:pt>
                <c:pt idx="10">
                  <c:v>1702.3932696167453</c:v>
                </c:pt>
                <c:pt idx="11">
                  <c:v>1834.3870179824823</c:v>
                </c:pt>
                <c:pt idx="12">
                  <c:v>920.6639785218897</c:v>
                </c:pt>
                <c:pt idx="13">
                  <c:v>1270.2063238120049</c:v>
                </c:pt>
                <c:pt idx="14">
                  <c:v>870.24044042274841</c:v>
                </c:pt>
                <c:pt idx="15">
                  <c:v>2842.0467650608821</c:v>
                </c:pt>
                <c:pt idx="16">
                  <c:v>1558.8139827345653</c:v>
                </c:pt>
                <c:pt idx="17">
                  <c:v>1166.074746908811</c:v>
                </c:pt>
                <c:pt idx="18">
                  <c:v>2432.1948936767626</c:v>
                </c:pt>
                <c:pt idx="19">
                  <c:v>2373.1689709613224</c:v>
                </c:pt>
                <c:pt idx="20">
                  <c:v>2943.7540102363532</c:v>
                </c:pt>
                <c:pt idx="21">
                  <c:v>2490.1873162870329</c:v>
                </c:pt>
                <c:pt idx="22">
                  <c:v>1808.9079233336333</c:v>
                </c:pt>
                <c:pt idx="23">
                  <c:v>2680.8354828488073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zbožáky!$A$74</c:f>
              <c:strCache>
                <c:ptCount val="1"/>
                <c:pt idx="0">
                  <c:v>zbozi - PCO</c:v>
                </c:pt>
              </c:strCache>
            </c:strRef>
          </c:tx>
          <c:marker>
            <c:symbol val="none"/>
          </c:marker>
          <c:cat>
            <c:strRef>
              <c:f>zbožáky!$B$59:$Y$59</c:f>
              <c:strCache>
                <c:ptCount val="24"/>
                <c:pt idx="0">
                  <c:v>2011-09</c:v>
                </c:pt>
                <c:pt idx="1">
                  <c:v>2011-10</c:v>
                </c:pt>
                <c:pt idx="2">
                  <c:v>2011-11</c:v>
                </c:pt>
                <c:pt idx="3">
                  <c:v>2011-12</c:v>
                </c:pt>
                <c:pt idx="4">
                  <c:v>2012-01</c:v>
                </c:pt>
                <c:pt idx="5">
                  <c:v>2012-02</c:v>
                </c:pt>
                <c:pt idx="6">
                  <c:v>2012-03</c:v>
                </c:pt>
                <c:pt idx="7">
                  <c:v>2012-04</c:v>
                </c:pt>
                <c:pt idx="8">
                  <c:v>2012-06</c:v>
                </c:pt>
                <c:pt idx="9">
                  <c:v>2012-07</c:v>
                </c:pt>
                <c:pt idx="10">
                  <c:v>2012-08</c:v>
                </c:pt>
                <c:pt idx="11">
                  <c:v>2012-09</c:v>
                </c:pt>
                <c:pt idx="12">
                  <c:v>2012-10</c:v>
                </c:pt>
                <c:pt idx="13">
                  <c:v>2012-11</c:v>
                </c:pt>
                <c:pt idx="14">
                  <c:v>2012-12</c:v>
                </c:pt>
                <c:pt idx="15">
                  <c:v>2013-01</c:v>
                </c:pt>
                <c:pt idx="16">
                  <c:v>2013-02</c:v>
                </c:pt>
                <c:pt idx="17">
                  <c:v>2013-03</c:v>
                </c:pt>
                <c:pt idx="18">
                  <c:v>2013-04</c:v>
                </c:pt>
                <c:pt idx="19">
                  <c:v>2013-05</c:v>
                </c:pt>
                <c:pt idx="20">
                  <c:v>2013-06</c:v>
                </c:pt>
                <c:pt idx="21">
                  <c:v>2013-07</c:v>
                </c:pt>
                <c:pt idx="22">
                  <c:v>2013-08</c:v>
                </c:pt>
                <c:pt idx="23">
                  <c:v>2013-09</c:v>
                </c:pt>
              </c:strCache>
            </c:strRef>
          </c:cat>
          <c:val>
            <c:numRef>
              <c:f>zbožáky!$B$74:$Y$74</c:f>
              <c:numCache>
                <c:formatCode>#,##0\ "Kč"</c:formatCode>
                <c:ptCount val="24"/>
                <c:pt idx="0">
                  <c:v>2105.5866971442524</c:v>
                </c:pt>
                <c:pt idx="1">
                  <c:v>1829.0921634165848</c:v>
                </c:pt>
                <c:pt idx="2">
                  <c:v>1061.4723789690577</c:v>
                </c:pt>
                <c:pt idx="3">
                  <c:v>911.91560568606815</c:v>
                </c:pt>
                <c:pt idx="4">
                  <c:v>1439.4870879784955</c:v>
                </c:pt>
                <c:pt idx="5">
                  <c:v>1248.1501497454024</c:v>
                </c:pt>
                <c:pt idx="6">
                  <c:v>1180.6738804899867</c:v>
                </c:pt>
                <c:pt idx="7">
                  <c:v>2123.3699929014501</c:v>
                </c:pt>
                <c:pt idx="8">
                  <c:v>1763.2418181624373</c:v>
                </c:pt>
                <c:pt idx="9">
                  <c:v>2225.1531605784271</c:v>
                </c:pt>
                <c:pt idx="10">
                  <c:v>1963.2153316864369</c:v>
                </c:pt>
                <c:pt idx="11">
                  <c:v>1864.8942574139953</c:v>
                </c:pt>
                <c:pt idx="12">
                  <c:v>892.76986960914007</c:v>
                </c:pt>
                <c:pt idx="13">
                  <c:v>1549.2472146210057</c:v>
                </c:pt>
                <c:pt idx="14">
                  <c:v>1159.7368823291179</c:v>
                </c:pt>
                <c:pt idx="15">
                  <c:v>1036.2667891372621</c:v>
                </c:pt>
                <c:pt idx="16">
                  <c:v>1809.1458364808418</c:v>
                </c:pt>
                <c:pt idx="17">
                  <c:v>1284.653219927711</c:v>
                </c:pt>
                <c:pt idx="18">
                  <c:v>1587.3562755315393</c:v>
                </c:pt>
                <c:pt idx="19">
                  <c:v>1975.8994005360048</c:v>
                </c:pt>
                <c:pt idx="20">
                  <c:v>2029.1453638439971</c:v>
                </c:pt>
                <c:pt idx="21">
                  <c:v>1198.2849046467643</c:v>
                </c:pt>
                <c:pt idx="22">
                  <c:v>1912.5526641657825</c:v>
                </c:pt>
                <c:pt idx="23">
                  <c:v>1052.9305968985036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zbožáky!$A$79</c:f>
              <c:strCache>
                <c:ptCount val="1"/>
                <c:pt idx="0">
                  <c:v>zbož-ost - PCO</c:v>
                </c:pt>
              </c:strCache>
            </c:strRef>
          </c:tx>
          <c:marker>
            <c:symbol val="none"/>
          </c:marker>
          <c:val>
            <c:numRef>
              <c:f>zbožáky!$B$79:$Y$79</c:f>
              <c:numCache>
                <c:formatCode>#,##0\ "Kč"</c:formatCode>
                <c:ptCount val="24"/>
                <c:pt idx="0">
                  <c:v>1133.9474934176528</c:v>
                </c:pt>
                <c:pt idx="1">
                  <c:v>1689.772609416892</c:v>
                </c:pt>
                <c:pt idx="2">
                  <c:v>936.340256797047</c:v>
                </c:pt>
                <c:pt idx="3">
                  <c:v>1606.0954349704496</c:v>
                </c:pt>
                <c:pt idx="4">
                  <c:v>1179.4414873190979</c:v>
                </c:pt>
                <c:pt idx="5">
                  <c:v>1241.8819629568836</c:v>
                </c:pt>
                <c:pt idx="6">
                  <c:v>1826.7450959082557</c:v>
                </c:pt>
                <c:pt idx="7">
                  <c:v>979.25406543688871</c:v>
                </c:pt>
                <c:pt idx="8">
                  <c:v>1230.8706720139655</c:v>
                </c:pt>
                <c:pt idx="9">
                  <c:v>1803.4387357778558</c:v>
                </c:pt>
                <c:pt idx="10">
                  <c:v>1251.9085705792738</c:v>
                </c:pt>
                <c:pt idx="11">
                  <c:v>743.21259136708102</c:v>
                </c:pt>
                <c:pt idx="12">
                  <c:v>3664.6442493546015</c:v>
                </c:pt>
                <c:pt idx="13">
                  <c:v>928.56380913238888</c:v>
                </c:pt>
                <c:pt idx="14">
                  <c:v>1565.7778262275306</c:v>
                </c:pt>
                <c:pt idx="15">
                  <c:v>948.18004113696088</c:v>
                </c:pt>
                <c:pt idx="16">
                  <c:v>1416.6264509263667</c:v>
                </c:pt>
                <c:pt idx="17">
                  <c:v>1313.1700532941231</c:v>
                </c:pt>
                <c:pt idx="18">
                  <c:v>724.42705889536057</c:v>
                </c:pt>
                <c:pt idx="19">
                  <c:v>1089.1380925781557</c:v>
                </c:pt>
                <c:pt idx="20">
                  <c:v>1269.8480775686901</c:v>
                </c:pt>
                <c:pt idx="21">
                  <c:v>991.30645179891212</c:v>
                </c:pt>
                <c:pt idx="22">
                  <c:v>1599.2756387120592</c:v>
                </c:pt>
                <c:pt idx="23">
                  <c:v>869.75603979328923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582528"/>
        <c:axId val="178616512"/>
      </c:lineChart>
      <c:catAx>
        <c:axId val="178582528"/>
        <c:scaling>
          <c:orientation val="minMax"/>
        </c:scaling>
        <c:delete val="0"/>
        <c:axPos val="b"/>
        <c:majorTickMark val="none"/>
        <c:minorTickMark val="none"/>
        <c:tickLblPos val="nextTo"/>
        <c:crossAx val="178616512"/>
        <c:crosses val="autoZero"/>
        <c:auto val="1"/>
        <c:lblAlgn val="ctr"/>
        <c:lblOffset val="100"/>
        <c:noMultiLvlLbl val="0"/>
      </c:catAx>
      <c:valAx>
        <c:axId val="178616512"/>
        <c:scaling>
          <c:orientation val="minMax"/>
        </c:scaling>
        <c:delete val="0"/>
        <c:axPos val="l"/>
        <c:majorGridlines/>
        <c:numFmt formatCode="#,##0\ &quot;Kč&quot;" sourceLinked="1"/>
        <c:majorTickMark val="none"/>
        <c:minorTickMark val="none"/>
        <c:tickLblPos val="nextTo"/>
        <c:spPr>
          <a:ln w="9525">
            <a:noFill/>
          </a:ln>
        </c:spPr>
        <c:crossAx val="17858252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Návštěvy a KP - direct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'direct,ref,mm,rtb'!$A$46</c:f>
              <c:strCache>
                <c:ptCount val="1"/>
                <c:pt idx="0">
                  <c:v>direct - Návštěvy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'direct,ref,mm,rtb'!$B$45:$Y$45</c:f>
              <c:strCache>
                <c:ptCount val="24"/>
                <c:pt idx="0">
                  <c:v>2011-09</c:v>
                </c:pt>
                <c:pt idx="1">
                  <c:v>2011-10</c:v>
                </c:pt>
                <c:pt idx="2">
                  <c:v>2011-11</c:v>
                </c:pt>
                <c:pt idx="3">
                  <c:v>2011-12</c:v>
                </c:pt>
                <c:pt idx="4">
                  <c:v>2012-01</c:v>
                </c:pt>
                <c:pt idx="5">
                  <c:v>2012-02</c:v>
                </c:pt>
                <c:pt idx="6">
                  <c:v>2012-03</c:v>
                </c:pt>
                <c:pt idx="7">
                  <c:v>2012-04</c:v>
                </c:pt>
                <c:pt idx="8">
                  <c:v>2012-06</c:v>
                </c:pt>
                <c:pt idx="9">
                  <c:v>2012-07</c:v>
                </c:pt>
                <c:pt idx="10">
                  <c:v>2012-08</c:v>
                </c:pt>
                <c:pt idx="11">
                  <c:v>2012-09</c:v>
                </c:pt>
                <c:pt idx="12">
                  <c:v>2012-10</c:v>
                </c:pt>
                <c:pt idx="13">
                  <c:v>2012-11</c:v>
                </c:pt>
                <c:pt idx="14">
                  <c:v>2012-12</c:v>
                </c:pt>
                <c:pt idx="15">
                  <c:v>2013-01</c:v>
                </c:pt>
                <c:pt idx="16">
                  <c:v>2013-02</c:v>
                </c:pt>
                <c:pt idx="17">
                  <c:v>2013-03</c:v>
                </c:pt>
                <c:pt idx="18">
                  <c:v>2013-04</c:v>
                </c:pt>
                <c:pt idx="19">
                  <c:v>2013-05</c:v>
                </c:pt>
                <c:pt idx="20">
                  <c:v>2013-06</c:v>
                </c:pt>
                <c:pt idx="21">
                  <c:v>2013-07</c:v>
                </c:pt>
                <c:pt idx="22">
                  <c:v>2013-08</c:v>
                </c:pt>
                <c:pt idx="23">
                  <c:v>2013-09</c:v>
                </c:pt>
              </c:strCache>
            </c:strRef>
          </c:cat>
          <c:val>
            <c:numRef>
              <c:f>'direct,ref,mm,rtb'!$B$46:$Y$46</c:f>
              <c:numCache>
                <c:formatCode>#,##0</c:formatCode>
                <c:ptCount val="24"/>
                <c:pt idx="0">
                  <c:v>28584.255984475843</c:v>
                </c:pt>
                <c:pt idx="1">
                  <c:v>27690.382954141427</c:v>
                </c:pt>
                <c:pt idx="2">
                  <c:v>37485.622691099939</c:v>
                </c:pt>
                <c:pt idx="3">
                  <c:v>61693.059162690603</c:v>
                </c:pt>
                <c:pt idx="4">
                  <c:v>37010.210431665568</c:v>
                </c:pt>
                <c:pt idx="5">
                  <c:v>41677.553856170867</c:v>
                </c:pt>
                <c:pt idx="6">
                  <c:v>35267.232822410799</c:v>
                </c:pt>
                <c:pt idx="7">
                  <c:v>28459.557524019419</c:v>
                </c:pt>
                <c:pt idx="8">
                  <c:v>39017.671840262527</c:v>
                </c:pt>
                <c:pt idx="9">
                  <c:v>31653.75964817551</c:v>
                </c:pt>
                <c:pt idx="10">
                  <c:v>53661.645329335443</c:v>
                </c:pt>
                <c:pt idx="11">
                  <c:v>35520.023457343559</c:v>
                </c:pt>
                <c:pt idx="12">
                  <c:v>46239.190049573896</c:v>
                </c:pt>
                <c:pt idx="13">
                  <c:v>61203.80210407541</c:v>
                </c:pt>
                <c:pt idx="14">
                  <c:v>47354.202186662296</c:v>
                </c:pt>
                <c:pt idx="15">
                  <c:v>40050.252231325067</c:v>
                </c:pt>
                <c:pt idx="16">
                  <c:v>23479.951959483606</c:v>
                </c:pt>
                <c:pt idx="17">
                  <c:v>40803.136011528943</c:v>
                </c:pt>
                <c:pt idx="18">
                  <c:v>38577.252259191817</c:v>
                </c:pt>
                <c:pt idx="19">
                  <c:v>26419.543210045984</c:v>
                </c:pt>
                <c:pt idx="20">
                  <c:v>45415.358291371464</c:v>
                </c:pt>
                <c:pt idx="21">
                  <c:v>49965.344312023182</c:v>
                </c:pt>
                <c:pt idx="22">
                  <c:v>48030.9818026172</c:v>
                </c:pt>
                <c:pt idx="23">
                  <c:v>29977.822343317737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78584064"/>
        <c:axId val="179980544"/>
      </c:barChart>
      <c:lineChart>
        <c:grouping val="standard"/>
        <c:varyColors val="0"/>
        <c:ser>
          <c:idx val="1"/>
          <c:order val="1"/>
          <c:tx>
            <c:strRef>
              <c:f>'direct,ref,mm,rtb'!$A$49</c:f>
              <c:strCache>
                <c:ptCount val="1"/>
                <c:pt idx="0">
                  <c:v>direct - KP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rgbClr val="4F81BD"/>
                </a:solidFill>
              </a:ln>
            </c:spPr>
          </c:marker>
          <c:cat>
            <c:strRef>
              <c:f>'direct,ref,mm,rtb'!$B$45:$Y$45</c:f>
              <c:strCache>
                <c:ptCount val="24"/>
                <c:pt idx="0">
                  <c:v>2011-09</c:v>
                </c:pt>
                <c:pt idx="1">
                  <c:v>2011-10</c:v>
                </c:pt>
                <c:pt idx="2">
                  <c:v>2011-11</c:v>
                </c:pt>
                <c:pt idx="3">
                  <c:v>2011-12</c:v>
                </c:pt>
                <c:pt idx="4">
                  <c:v>2012-01</c:v>
                </c:pt>
                <c:pt idx="5">
                  <c:v>2012-02</c:v>
                </c:pt>
                <c:pt idx="6">
                  <c:v>2012-03</c:v>
                </c:pt>
                <c:pt idx="7">
                  <c:v>2012-04</c:v>
                </c:pt>
                <c:pt idx="8">
                  <c:v>2012-06</c:v>
                </c:pt>
                <c:pt idx="9">
                  <c:v>2012-07</c:v>
                </c:pt>
                <c:pt idx="10">
                  <c:v>2012-08</c:v>
                </c:pt>
                <c:pt idx="11">
                  <c:v>2012-09</c:v>
                </c:pt>
                <c:pt idx="12">
                  <c:v>2012-10</c:v>
                </c:pt>
                <c:pt idx="13">
                  <c:v>2012-11</c:v>
                </c:pt>
                <c:pt idx="14">
                  <c:v>2012-12</c:v>
                </c:pt>
                <c:pt idx="15">
                  <c:v>2013-01</c:v>
                </c:pt>
                <c:pt idx="16">
                  <c:v>2013-02</c:v>
                </c:pt>
                <c:pt idx="17">
                  <c:v>2013-03</c:v>
                </c:pt>
                <c:pt idx="18">
                  <c:v>2013-04</c:v>
                </c:pt>
                <c:pt idx="19">
                  <c:v>2013-05</c:v>
                </c:pt>
                <c:pt idx="20">
                  <c:v>2013-06</c:v>
                </c:pt>
                <c:pt idx="21">
                  <c:v>2013-07</c:v>
                </c:pt>
                <c:pt idx="22">
                  <c:v>2013-08</c:v>
                </c:pt>
                <c:pt idx="23">
                  <c:v>2013-09</c:v>
                </c:pt>
              </c:strCache>
            </c:strRef>
          </c:cat>
          <c:val>
            <c:numRef>
              <c:f>'direct,ref,mm,rtb'!$B$49:$Y$49</c:f>
              <c:numCache>
                <c:formatCode>0.00%</c:formatCode>
                <c:ptCount val="24"/>
                <c:pt idx="0">
                  <c:v>2.1351101792924657E-2</c:v>
                </c:pt>
                <c:pt idx="1">
                  <c:v>3.2735123887687706E-2</c:v>
                </c:pt>
                <c:pt idx="2">
                  <c:v>3.9682612466160345E-2</c:v>
                </c:pt>
                <c:pt idx="3">
                  <c:v>2.4912094431730831E-2</c:v>
                </c:pt>
                <c:pt idx="4">
                  <c:v>3.0669683140311575E-2</c:v>
                </c:pt>
                <c:pt idx="5">
                  <c:v>2.2231849700719845E-2</c:v>
                </c:pt>
                <c:pt idx="6">
                  <c:v>1.6119569059340495E-2</c:v>
                </c:pt>
                <c:pt idx="7">
                  <c:v>3.2628602043170106E-2</c:v>
                </c:pt>
                <c:pt idx="8">
                  <c:v>2.1313413184112454E-2</c:v>
                </c:pt>
                <c:pt idx="9">
                  <c:v>2.4122902738322689E-2</c:v>
                </c:pt>
                <c:pt idx="10">
                  <c:v>1.7380522545000832E-2</c:v>
                </c:pt>
                <c:pt idx="11">
                  <c:v>1.7739525899717026E-2</c:v>
                </c:pt>
                <c:pt idx="12">
                  <c:v>2.5888681689973839E-2</c:v>
                </c:pt>
                <c:pt idx="13">
                  <c:v>1.2744660784028958E-2</c:v>
                </c:pt>
                <c:pt idx="14">
                  <c:v>2.4027732434573495E-2</c:v>
                </c:pt>
                <c:pt idx="15">
                  <c:v>1.9873624384057886E-2</c:v>
                </c:pt>
                <c:pt idx="16">
                  <c:v>4.0959225943895922E-2</c:v>
                </c:pt>
                <c:pt idx="17">
                  <c:v>1.4397420124688023E-2</c:v>
                </c:pt>
                <c:pt idx="18">
                  <c:v>2.1820455262183944E-2</c:v>
                </c:pt>
                <c:pt idx="19">
                  <c:v>3.4210354763713959E-2</c:v>
                </c:pt>
                <c:pt idx="20">
                  <c:v>1.3818866760068464E-2</c:v>
                </c:pt>
                <c:pt idx="21">
                  <c:v>1.6357970885684216E-2</c:v>
                </c:pt>
                <c:pt idx="22">
                  <c:v>1.2235266245474592E-2</c:v>
                </c:pt>
                <c:pt idx="23">
                  <c:v>2.3872917780703558E-2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583040"/>
        <c:axId val="179979968"/>
      </c:lineChart>
      <c:catAx>
        <c:axId val="178583040"/>
        <c:scaling>
          <c:orientation val="minMax"/>
        </c:scaling>
        <c:delete val="0"/>
        <c:axPos val="b"/>
        <c:majorTickMark val="none"/>
        <c:minorTickMark val="none"/>
        <c:tickLblPos val="nextTo"/>
        <c:crossAx val="179979968"/>
        <c:crosses val="autoZero"/>
        <c:auto val="1"/>
        <c:lblAlgn val="ctr"/>
        <c:lblOffset val="100"/>
        <c:noMultiLvlLbl val="0"/>
      </c:catAx>
      <c:valAx>
        <c:axId val="179979968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78583040"/>
        <c:crosses val="autoZero"/>
        <c:crossBetween val="between"/>
      </c:valAx>
      <c:valAx>
        <c:axId val="17998054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crossAx val="178584064"/>
        <c:crosses val="max"/>
        <c:crossBetween val="between"/>
      </c:valAx>
      <c:catAx>
        <c:axId val="178584064"/>
        <c:scaling>
          <c:orientation val="minMax"/>
        </c:scaling>
        <c:delete val="1"/>
        <c:axPos val="b"/>
        <c:majorTickMark val="out"/>
        <c:minorTickMark val="none"/>
        <c:tickLblPos val="none"/>
        <c:crossAx val="179980544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Transakce a obrat</a:t>
            </a:r>
            <a:r>
              <a:rPr lang="cs-CZ" baseline="0"/>
              <a:t> </a:t>
            </a:r>
            <a:r>
              <a:rPr lang="cs-CZ"/>
              <a:t>- direct</a:t>
            </a:r>
          </a:p>
        </c:rich>
      </c:tx>
      <c:layout>
        <c:manualLayout>
          <c:xMode val="edge"/>
          <c:yMode val="edge"/>
          <c:x val="0.33838921001927019"/>
          <c:y val="1.611278441601946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'direct,ref,mm,rtb'!$A$48</c:f>
              <c:strCache>
                <c:ptCount val="1"/>
                <c:pt idx="0">
                  <c:v>direct - Obrat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'direct,ref,mm,rtb'!$B$45:$Y$45</c:f>
              <c:strCache>
                <c:ptCount val="24"/>
                <c:pt idx="0">
                  <c:v>2011-09</c:v>
                </c:pt>
                <c:pt idx="1">
                  <c:v>2011-10</c:v>
                </c:pt>
                <c:pt idx="2">
                  <c:v>2011-11</c:v>
                </c:pt>
                <c:pt idx="3">
                  <c:v>2011-12</c:v>
                </c:pt>
                <c:pt idx="4">
                  <c:v>2012-01</c:v>
                </c:pt>
                <c:pt idx="5">
                  <c:v>2012-02</c:v>
                </c:pt>
                <c:pt idx="6">
                  <c:v>2012-03</c:v>
                </c:pt>
                <c:pt idx="7">
                  <c:v>2012-04</c:v>
                </c:pt>
                <c:pt idx="8">
                  <c:v>2012-06</c:v>
                </c:pt>
                <c:pt idx="9">
                  <c:v>2012-07</c:v>
                </c:pt>
                <c:pt idx="10">
                  <c:v>2012-08</c:v>
                </c:pt>
                <c:pt idx="11">
                  <c:v>2012-09</c:v>
                </c:pt>
                <c:pt idx="12">
                  <c:v>2012-10</c:v>
                </c:pt>
                <c:pt idx="13">
                  <c:v>2012-11</c:v>
                </c:pt>
                <c:pt idx="14">
                  <c:v>2012-12</c:v>
                </c:pt>
                <c:pt idx="15">
                  <c:v>2013-01</c:v>
                </c:pt>
                <c:pt idx="16">
                  <c:v>2013-02</c:v>
                </c:pt>
                <c:pt idx="17">
                  <c:v>2013-03</c:v>
                </c:pt>
                <c:pt idx="18">
                  <c:v>2013-04</c:v>
                </c:pt>
                <c:pt idx="19">
                  <c:v>2013-05</c:v>
                </c:pt>
                <c:pt idx="20">
                  <c:v>2013-06</c:v>
                </c:pt>
                <c:pt idx="21">
                  <c:v>2013-07</c:v>
                </c:pt>
                <c:pt idx="22">
                  <c:v>2013-08</c:v>
                </c:pt>
                <c:pt idx="23">
                  <c:v>2013-09</c:v>
                </c:pt>
              </c:strCache>
            </c:strRef>
          </c:cat>
          <c:val>
            <c:numRef>
              <c:f>'direct,ref,mm,rtb'!$B$48:$Y$48</c:f>
              <c:numCache>
                <c:formatCode>#,##0\ "Kč"</c:formatCode>
                <c:ptCount val="24"/>
                <c:pt idx="0">
                  <c:v>847458.2593162047</c:v>
                </c:pt>
                <c:pt idx="1">
                  <c:v>1097963.6856911061</c:v>
                </c:pt>
                <c:pt idx="2">
                  <c:v>1530514.6527246123</c:v>
                </c:pt>
                <c:pt idx="3">
                  <c:v>1402372.09854566</c:v>
                </c:pt>
                <c:pt idx="4">
                  <c:v>1282931.2227661039</c:v>
                </c:pt>
                <c:pt idx="5">
                  <c:v>1551517.8641526366</c:v>
                </c:pt>
                <c:pt idx="6">
                  <c:v>1892207.5955319852</c:v>
                </c:pt>
                <c:pt idx="7">
                  <c:v>1646781.0057114449</c:v>
                </c:pt>
                <c:pt idx="8">
                  <c:v>1631867.1225628429</c:v>
                </c:pt>
                <c:pt idx="9">
                  <c:v>1552038.7658520038</c:v>
                </c:pt>
                <c:pt idx="10">
                  <c:v>1605412.9840606416</c:v>
                </c:pt>
                <c:pt idx="11">
                  <c:v>989773.30347744212</c:v>
                </c:pt>
                <c:pt idx="12">
                  <c:v>1403955.186517444</c:v>
                </c:pt>
                <c:pt idx="13">
                  <c:v>1747658.6191743675</c:v>
                </c:pt>
                <c:pt idx="14">
                  <c:v>1917909.9105812092</c:v>
                </c:pt>
                <c:pt idx="15">
                  <c:v>1143788.2150257111</c:v>
                </c:pt>
                <c:pt idx="16">
                  <c:v>1193783.9058953815</c:v>
                </c:pt>
                <c:pt idx="17">
                  <c:v>1430259.9836647462</c:v>
                </c:pt>
                <c:pt idx="18">
                  <c:v>1291373.2651184814</c:v>
                </c:pt>
                <c:pt idx="19">
                  <c:v>1017360.1608927326</c:v>
                </c:pt>
                <c:pt idx="20">
                  <c:v>1248265.3209859221</c:v>
                </c:pt>
                <c:pt idx="21">
                  <c:v>1956408.935106318</c:v>
                </c:pt>
                <c:pt idx="22">
                  <c:v>1705849.3370798277</c:v>
                </c:pt>
                <c:pt idx="23">
                  <c:v>1079425.1525568196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80187648"/>
        <c:axId val="179983424"/>
      </c:barChart>
      <c:lineChart>
        <c:grouping val="standard"/>
        <c:varyColors val="0"/>
        <c:ser>
          <c:idx val="0"/>
          <c:order val="0"/>
          <c:tx>
            <c:strRef>
              <c:f>'direct,ref,mm,rtb'!$A$47</c:f>
              <c:strCache>
                <c:ptCount val="1"/>
                <c:pt idx="0">
                  <c:v>direct - Transakce</c:v>
                </c:pt>
              </c:strCache>
            </c:strRef>
          </c:tx>
          <c:cat>
            <c:strRef>
              <c:f>'direct,ref,mm,rtb'!$B$45:$Y$45</c:f>
              <c:strCache>
                <c:ptCount val="24"/>
                <c:pt idx="0">
                  <c:v>2011-09</c:v>
                </c:pt>
                <c:pt idx="1">
                  <c:v>2011-10</c:v>
                </c:pt>
                <c:pt idx="2">
                  <c:v>2011-11</c:v>
                </c:pt>
                <c:pt idx="3">
                  <c:v>2011-12</c:v>
                </c:pt>
                <c:pt idx="4">
                  <c:v>2012-01</c:v>
                </c:pt>
                <c:pt idx="5">
                  <c:v>2012-02</c:v>
                </c:pt>
                <c:pt idx="6">
                  <c:v>2012-03</c:v>
                </c:pt>
                <c:pt idx="7">
                  <c:v>2012-04</c:v>
                </c:pt>
                <c:pt idx="8">
                  <c:v>2012-06</c:v>
                </c:pt>
                <c:pt idx="9">
                  <c:v>2012-07</c:v>
                </c:pt>
                <c:pt idx="10">
                  <c:v>2012-08</c:v>
                </c:pt>
                <c:pt idx="11">
                  <c:v>2012-09</c:v>
                </c:pt>
                <c:pt idx="12">
                  <c:v>2012-10</c:v>
                </c:pt>
                <c:pt idx="13">
                  <c:v>2012-11</c:v>
                </c:pt>
                <c:pt idx="14">
                  <c:v>2012-12</c:v>
                </c:pt>
                <c:pt idx="15">
                  <c:v>2013-01</c:v>
                </c:pt>
                <c:pt idx="16">
                  <c:v>2013-02</c:v>
                </c:pt>
                <c:pt idx="17">
                  <c:v>2013-03</c:v>
                </c:pt>
                <c:pt idx="18">
                  <c:v>2013-04</c:v>
                </c:pt>
                <c:pt idx="19">
                  <c:v>2013-05</c:v>
                </c:pt>
                <c:pt idx="20">
                  <c:v>2013-06</c:v>
                </c:pt>
                <c:pt idx="21">
                  <c:v>2013-07</c:v>
                </c:pt>
                <c:pt idx="22">
                  <c:v>2013-08</c:v>
                </c:pt>
                <c:pt idx="23">
                  <c:v>2013-09</c:v>
                </c:pt>
              </c:strCache>
            </c:strRef>
          </c:cat>
          <c:val>
            <c:numRef>
              <c:f>'direct,ref,mm,rtb'!$B$47:$Y$47</c:f>
              <c:numCache>
                <c:formatCode>#,##0</c:formatCode>
                <c:ptCount val="24"/>
                <c:pt idx="0">
                  <c:v>610.30535919955958</c:v>
                </c:pt>
                <c:pt idx="1">
                  <c:v>906.44811650133545</c:v>
                </c:pt>
                <c:pt idx="2">
                  <c:v>1487.5274383036256</c:v>
                </c:pt>
                <c:pt idx="3">
                  <c:v>1536.9033156433052</c:v>
                </c:pt>
                <c:pt idx="4">
                  <c:v>1135.0914268954371</c:v>
                </c:pt>
                <c:pt idx="5">
                  <c:v>926.56911322404744</c:v>
                </c:pt>
                <c:pt idx="6">
                  <c:v>568.49259501269069</c:v>
                </c:pt>
                <c:pt idx="7">
                  <c:v>928.59557677593716</c:v>
                </c:pt>
                <c:pt idx="8">
                  <c:v>831.59976141362461</c:v>
                </c:pt>
                <c:pt idx="9">
                  <c:v>763.58056529518126</c:v>
                </c:pt>
                <c:pt idx="10">
                  <c:v>932.66743644835321</c:v>
                </c:pt>
                <c:pt idx="11">
                  <c:v>630.1083760801024</c:v>
                </c:pt>
                <c:pt idx="12">
                  <c:v>1197.0716727956242</c:v>
                </c:pt>
                <c:pt idx="13">
                  <c:v>780.02169650927885</c:v>
                </c:pt>
                <c:pt idx="14">
                  <c:v>1137.8140997938167</c:v>
                </c:pt>
                <c:pt idx="15">
                  <c:v>795.94366933213064</c:v>
                </c:pt>
                <c:pt idx="16">
                  <c:v>961.7206574603108</c:v>
                </c:pt>
                <c:pt idx="17">
                  <c:v>587.45989156276937</c:v>
                </c:pt>
                <c:pt idx="18">
                  <c:v>841.77320705967952</c:v>
                </c:pt>
                <c:pt idx="19">
                  <c:v>903.82194591094333</c:v>
                </c:pt>
                <c:pt idx="20">
                  <c:v>627.58878508923283</c:v>
                </c:pt>
                <c:pt idx="21">
                  <c:v>817.3316475492627</c:v>
                </c:pt>
                <c:pt idx="22">
                  <c:v>587.67185038656658</c:v>
                </c:pt>
                <c:pt idx="23">
                  <c:v>715.6580880465624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585088"/>
        <c:axId val="179982848"/>
      </c:lineChart>
      <c:catAx>
        <c:axId val="178585088"/>
        <c:scaling>
          <c:orientation val="minMax"/>
        </c:scaling>
        <c:delete val="0"/>
        <c:axPos val="b"/>
        <c:majorTickMark val="none"/>
        <c:minorTickMark val="none"/>
        <c:tickLblPos val="nextTo"/>
        <c:crossAx val="179982848"/>
        <c:crosses val="autoZero"/>
        <c:auto val="1"/>
        <c:lblAlgn val="ctr"/>
        <c:lblOffset val="100"/>
        <c:noMultiLvlLbl val="0"/>
      </c:catAx>
      <c:valAx>
        <c:axId val="17998284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78585088"/>
        <c:crosses val="autoZero"/>
        <c:crossBetween val="between"/>
      </c:valAx>
      <c:valAx>
        <c:axId val="179983424"/>
        <c:scaling>
          <c:orientation val="minMax"/>
        </c:scaling>
        <c:delete val="0"/>
        <c:axPos val="r"/>
        <c:numFmt formatCode="#,##0\ &quot;Kč&quot;" sourceLinked="1"/>
        <c:majorTickMark val="out"/>
        <c:minorTickMark val="none"/>
        <c:tickLblPos val="nextTo"/>
        <c:crossAx val="180187648"/>
        <c:crosses val="max"/>
        <c:crossBetween val="between"/>
      </c:valAx>
      <c:catAx>
        <c:axId val="180187648"/>
        <c:scaling>
          <c:orientation val="minMax"/>
        </c:scaling>
        <c:delete val="1"/>
        <c:axPos val="b"/>
        <c:majorTickMark val="out"/>
        <c:minorTickMark val="none"/>
        <c:tickLblPos val="none"/>
        <c:crossAx val="179983424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Návštěvy a KP - referral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'direct,ref,mm,rtb'!$A$58</c:f>
              <c:strCache>
                <c:ptCount val="1"/>
                <c:pt idx="0">
                  <c:v>referral - Návštěvy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'direct,ref,mm,rtb'!$B$45:$Y$45</c:f>
              <c:strCache>
                <c:ptCount val="24"/>
                <c:pt idx="0">
                  <c:v>2011-09</c:v>
                </c:pt>
                <c:pt idx="1">
                  <c:v>2011-10</c:v>
                </c:pt>
                <c:pt idx="2">
                  <c:v>2011-11</c:v>
                </c:pt>
                <c:pt idx="3">
                  <c:v>2011-12</c:v>
                </c:pt>
                <c:pt idx="4">
                  <c:v>2012-01</c:v>
                </c:pt>
                <c:pt idx="5">
                  <c:v>2012-02</c:v>
                </c:pt>
                <c:pt idx="6">
                  <c:v>2012-03</c:v>
                </c:pt>
                <c:pt idx="7">
                  <c:v>2012-04</c:v>
                </c:pt>
                <c:pt idx="8">
                  <c:v>2012-06</c:v>
                </c:pt>
                <c:pt idx="9">
                  <c:v>2012-07</c:v>
                </c:pt>
                <c:pt idx="10">
                  <c:v>2012-08</c:v>
                </c:pt>
                <c:pt idx="11">
                  <c:v>2012-09</c:v>
                </c:pt>
                <c:pt idx="12">
                  <c:v>2012-10</c:v>
                </c:pt>
                <c:pt idx="13">
                  <c:v>2012-11</c:v>
                </c:pt>
                <c:pt idx="14">
                  <c:v>2012-12</c:v>
                </c:pt>
                <c:pt idx="15">
                  <c:v>2013-01</c:v>
                </c:pt>
                <c:pt idx="16">
                  <c:v>2013-02</c:v>
                </c:pt>
                <c:pt idx="17">
                  <c:v>2013-03</c:v>
                </c:pt>
                <c:pt idx="18">
                  <c:v>2013-04</c:v>
                </c:pt>
                <c:pt idx="19">
                  <c:v>2013-05</c:v>
                </c:pt>
                <c:pt idx="20">
                  <c:v>2013-06</c:v>
                </c:pt>
                <c:pt idx="21">
                  <c:v>2013-07</c:v>
                </c:pt>
                <c:pt idx="22">
                  <c:v>2013-08</c:v>
                </c:pt>
                <c:pt idx="23">
                  <c:v>2013-09</c:v>
                </c:pt>
              </c:strCache>
            </c:strRef>
          </c:cat>
          <c:val>
            <c:numRef>
              <c:f>'direct,ref,mm,rtb'!$B$58:$Y$58</c:f>
              <c:numCache>
                <c:formatCode>#,##0</c:formatCode>
                <c:ptCount val="24"/>
                <c:pt idx="0">
                  <c:v>31069.247355513631</c:v>
                </c:pt>
                <c:pt idx="1">
                  <c:v>71311.918255443539</c:v>
                </c:pt>
                <c:pt idx="2">
                  <c:v>36338.71642555904</c:v>
                </c:pt>
                <c:pt idx="3">
                  <c:v>77470.338497748977</c:v>
                </c:pt>
                <c:pt idx="4">
                  <c:v>57569.468059129758</c:v>
                </c:pt>
                <c:pt idx="5">
                  <c:v>43252.298124434186</c:v>
                </c:pt>
                <c:pt idx="6">
                  <c:v>48671.333536035643</c:v>
                </c:pt>
                <c:pt idx="7">
                  <c:v>49798.051188657169</c:v>
                </c:pt>
                <c:pt idx="8">
                  <c:v>43164.894123769198</c:v>
                </c:pt>
                <c:pt idx="9">
                  <c:v>27051.12083325471</c:v>
                </c:pt>
                <c:pt idx="10">
                  <c:v>22305.048053376115</c:v>
                </c:pt>
                <c:pt idx="11">
                  <c:v>28821.019720576704</c:v>
                </c:pt>
                <c:pt idx="12">
                  <c:v>61869.717307270796</c:v>
                </c:pt>
                <c:pt idx="13">
                  <c:v>45459.01358747964</c:v>
                </c:pt>
                <c:pt idx="14">
                  <c:v>52086.904454532036</c:v>
                </c:pt>
                <c:pt idx="15">
                  <c:v>58261.373448069353</c:v>
                </c:pt>
                <c:pt idx="16">
                  <c:v>21162.93462439251</c:v>
                </c:pt>
                <c:pt idx="17">
                  <c:v>31541.838999351949</c:v>
                </c:pt>
                <c:pt idx="18">
                  <c:v>27561.265142519718</c:v>
                </c:pt>
                <c:pt idx="19">
                  <c:v>26147.82619014693</c:v>
                </c:pt>
                <c:pt idx="20">
                  <c:v>17205.480499437828</c:v>
                </c:pt>
                <c:pt idx="21">
                  <c:v>25381.163751351902</c:v>
                </c:pt>
                <c:pt idx="22">
                  <c:v>17225.168200363525</c:v>
                </c:pt>
                <c:pt idx="23">
                  <c:v>21490.637922366568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6434560"/>
        <c:axId val="180314112"/>
      </c:barChart>
      <c:lineChart>
        <c:grouping val="standard"/>
        <c:varyColors val="0"/>
        <c:ser>
          <c:idx val="1"/>
          <c:order val="1"/>
          <c:tx>
            <c:strRef>
              <c:f>'direct,ref,mm,rtb'!$A$61</c:f>
              <c:strCache>
                <c:ptCount val="1"/>
                <c:pt idx="0">
                  <c:v>referral - KP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rgbClr val="4F81BD"/>
                </a:solidFill>
              </a:ln>
            </c:spPr>
          </c:marker>
          <c:cat>
            <c:strRef>
              <c:f>'direct,ref,mm,rtb'!$B$45:$Y$45</c:f>
              <c:strCache>
                <c:ptCount val="24"/>
                <c:pt idx="0">
                  <c:v>2011-09</c:v>
                </c:pt>
                <c:pt idx="1">
                  <c:v>2011-10</c:v>
                </c:pt>
                <c:pt idx="2">
                  <c:v>2011-11</c:v>
                </c:pt>
                <c:pt idx="3">
                  <c:v>2011-12</c:v>
                </c:pt>
                <c:pt idx="4">
                  <c:v>2012-01</c:v>
                </c:pt>
                <c:pt idx="5">
                  <c:v>2012-02</c:v>
                </c:pt>
                <c:pt idx="6">
                  <c:v>2012-03</c:v>
                </c:pt>
                <c:pt idx="7">
                  <c:v>2012-04</c:v>
                </c:pt>
                <c:pt idx="8">
                  <c:v>2012-06</c:v>
                </c:pt>
                <c:pt idx="9">
                  <c:v>2012-07</c:v>
                </c:pt>
                <c:pt idx="10">
                  <c:v>2012-08</c:v>
                </c:pt>
                <c:pt idx="11">
                  <c:v>2012-09</c:v>
                </c:pt>
                <c:pt idx="12">
                  <c:v>2012-10</c:v>
                </c:pt>
                <c:pt idx="13">
                  <c:v>2012-11</c:v>
                </c:pt>
                <c:pt idx="14">
                  <c:v>2012-12</c:v>
                </c:pt>
                <c:pt idx="15">
                  <c:v>2013-01</c:v>
                </c:pt>
                <c:pt idx="16">
                  <c:v>2013-02</c:v>
                </c:pt>
                <c:pt idx="17">
                  <c:v>2013-03</c:v>
                </c:pt>
                <c:pt idx="18">
                  <c:v>2013-04</c:v>
                </c:pt>
                <c:pt idx="19">
                  <c:v>2013-05</c:v>
                </c:pt>
                <c:pt idx="20">
                  <c:v>2013-06</c:v>
                </c:pt>
                <c:pt idx="21">
                  <c:v>2013-07</c:v>
                </c:pt>
                <c:pt idx="22">
                  <c:v>2013-08</c:v>
                </c:pt>
                <c:pt idx="23">
                  <c:v>2013-09</c:v>
                </c:pt>
              </c:strCache>
            </c:strRef>
          </c:cat>
          <c:val>
            <c:numRef>
              <c:f>'direct,ref,mm,rtb'!$B$61:$Y$61</c:f>
              <c:numCache>
                <c:formatCode>0.00%</c:formatCode>
                <c:ptCount val="24"/>
                <c:pt idx="0">
                  <c:v>8.560112178854341E-3</c:v>
                </c:pt>
                <c:pt idx="1">
                  <c:v>2.8570324392169204E-2</c:v>
                </c:pt>
                <c:pt idx="2">
                  <c:v>1.7657440489935332E-2</c:v>
                </c:pt>
                <c:pt idx="3">
                  <c:v>1.0241677751889755E-2</c:v>
                </c:pt>
                <c:pt idx="4">
                  <c:v>4.9116254869052134E-3</c:v>
                </c:pt>
                <c:pt idx="5">
                  <c:v>9.3376673870117725E-3</c:v>
                </c:pt>
                <c:pt idx="6">
                  <c:v>1.3075127553333307E-2</c:v>
                </c:pt>
                <c:pt idx="7">
                  <c:v>1.0160170726105568E-2</c:v>
                </c:pt>
                <c:pt idx="8">
                  <c:v>8.8876583848405931E-3</c:v>
                </c:pt>
                <c:pt idx="9">
                  <c:v>1.6515703237174776E-2</c:v>
                </c:pt>
                <c:pt idx="10">
                  <c:v>1.9917388388077814E-2</c:v>
                </c:pt>
                <c:pt idx="11">
                  <c:v>9.8584147504420013E-3</c:v>
                </c:pt>
                <c:pt idx="12">
                  <c:v>3.0740788585353836E-2</c:v>
                </c:pt>
                <c:pt idx="13">
                  <c:v>1.4416755988408404E-2</c:v>
                </c:pt>
                <c:pt idx="14">
                  <c:v>1.0004695878310434E-2</c:v>
                </c:pt>
                <c:pt idx="15">
                  <c:v>7.00044897425955E-3</c:v>
                </c:pt>
                <c:pt idx="16">
                  <c:v>1.2475923425834107E-2</c:v>
                </c:pt>
                <c:pt idx="17">
                  <c:v>2.1795343679157048E-2</c:v>
                </c:pt>
                <c:pt idx="18">
                  <c:v>1.2345118121578303E-2</c:v>
                </c:pt>
                <c:pt idx="19">
                  <c:v>1.7027218452339943E-2</c:v>
                </c:pt>
                <c:pt idx="20">
                  <c:v>1.8451534179812115E-2</c:v>
                </c:pt>
                <c:pt idx="21">
                  <c:v>9.6225525294558675E-3</c:v>
                </c:pt>
                <c:pt idx="22">
                  <c:v>1.7947715934453986E-2</c:v>
                </c:pt>
                <c:pt idx="23">
                  <c:v>8.3956848598793123E-3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188160"/>
        <c:axId val="179985728"/>
      </c:lineChart>
      <c:catAx>
        <c:axId val="180188160"/>
        <c:scaling>
          <c:orientation val="minMax"/>
        </c:scaling>
        <c:delete val="0"/>
        <c:axPos val="b"/>
        <c:majorTickMark val="none"/>
        <c:minorTickMark val="none"/>
        <c:tickLblPos val="nextTo"/>
        <c:crossAx val="179985728"/>
        <c:crosses val="autoZero"/>
        <c:auto val="1"/>
        <c:lblAlgn val="ctr"/>
        <c:lblOffset val="100"/>
        <c:noMultiLvlLbl val="0"/>
      </c:catAx>
      <c:valAx>
        <c:axId val="179985728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80188160"/>
        <c:crosses val="autoZero"/>
        <c:crossBetween val="between"/>
      </c:valAx>
      <c:valAx>
        <c:axId val="180314112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crossAx val="146434560"/>
        <c:crosses val="max"/>
        <c:crossBetween val="between"/>
      </c:valAx>
      <c:catAx>
        <c:axId val="146434560"/>
        <c:scaling>
          <c:orientation val="minMax"/>
        </c:scaling>
        <c:delete val="1"/>
        <c:axPos val="b"/>
        <c:majorTickMark val="out"/>
        <c:minorTickMark val="none"/>
        <c:tickLblPos val="none"/>
        <c:crossAx val="180314112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Transakce a obrat</a:t>
            </a:r>
            <a:r>
              <a:rPr lang="cs-CZ" baseline="0"/>
              <a:t> </a:t>
            </a:r>
            <a:r>
              <a:rPr lang="cs-CZ"/>
              <a:t>- referral</a:t>
            </a:r>
          </a:p>
        </c:rich>
      </c:tx>
      <c:layout>
        <c:manualLayout>
          <c:xMode val="edge"/>
          <c:yMode val="edge"/>
          <c:x val="0.33838921001927047"/>
          <c:y val="1.611278441601946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'direct,ref,mm,rtb'!$A$60</c:f>
              <c:strCache>
                <c:ptCount val="1"/>
                <c:pt idx="0">
                  <c:v>referral - Obrat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'direct,ref,mm,rtb'!$B$45:$Y$45</c:f>
              <c:strCache>
                <c:ptCount val="24"/>
                <c:pt idx="0">
                  <c:v>2011-09</c:v>
                </c:pt>
                <c:pt idx="1">
                  <c:v>2011-10</c:v>
                </c:pt>
                <c:pt idx="2">
                  <c:v>2011-11</c:v>
                </c:pt>
                <c:pt idx="3">
                  <c:v>2011-12</c:v>
                </c:pt>
                <c:pt idx="4">
                  <c:v>2012-01</c:v>
                </c:pt>
                <c:pt idx="5">
                  <c:v>2012-02</c:v>
                </c:pt>
                <c:pt idx="6">
                  <c:v>2012-03</c:v>
                </c:pt>
                <c:pt idx="7">
                  <c:v>2012-04</c:v>
                </c:pt>
                <c:pt idx="8">
                  <c:v>2012-06</c:v>
                </c:pt>
                <c:pt idx="9">
                  <c:v>2012-07</c:v>
                </c:pt>
                <c:pt idx="10">
                  <c:v>2012-08</c:v>
                </c:pt>
                <c:pt idx="11">
                  <c:v>2012-09</c:v>
                </c:pt>
                <c:pt idx="12">
                  <c:v>2012-10</c:v>
                </c:pt>
                <c:pt idx="13">
                  <c:v>2012-11</c:v>
                </c:pt>
                <c:pt idx="14">
                  <c:v>2012-12</c:v>
                </c:pt>
                <c:pt idx="15">
                  <c:v>2013-01</c:v>
                </c:pt>
                <c:pt idx="16">
                  <c:v>2013-02</c:v>
                </c:pt>
                <c:pt idx="17">
                  <c:v>2013-03</c:v>
                </c:pt>
                <c:pt idx="18">
                  <c:v>2013-04</c:v>
                </c:pt>
                <c:pt idx="19">
                  <c:v>2013-05</c:v>
                </c:pt>
                <c:pt idx="20">
                  <c:v>2013-06</c:v>
                </c:pt>
                <c:pt idx="21">
                  <c:v>2013-07</c:v>
                </c:pt>
                <c:pt idx="22">
                  <c:v>2013-08</c:v>
                </c:pt>
                <c:pt idx="23">
                  <c:v>2013-09</c:v>
                </c:pt>
              </c:strCache>
            </c:strRef>
          </c:cat>
          <c:val>
            <c:numRef>
              <c:f>'direct,ref,mm,rtb'!$B$60:$Y$60</c:f>
              <c:numCache>
                <c:formatCode>#,##0\ "Kč"</c:formatCode>
                <c:ptCount val="24"/>
                <c:pt idx="0">
                  <c:v>566162.74671145133</c:v>
                </c:pt>
                <c:pt idx="1">
                  <c:v>2192852.5224639755</c:v>
                </c:pt>
                <c:pt idx="2">
                  <c:v>885749.5230505194</c:v>
                </c:pt>
                <c:pt idx="3">
                  <c:v>901659.91060381464</c:v>
                </c:pt>
                <c:pt idx="4">
                  <c:v>586295.27770451561</c:v>
                </c:pt>
                <c:pt idx="5">
                  <c:v>427360.01812162617</c:v>
                </c:pt>
                <c:pt idx="6">
                  <c:v>1529313.1878204725</c:v>
                </c:pt>
                <c:pt idx="7">
                  <c:v>421456.21991841309</c:v>
                </c:pt>
                <c:pt idx="8">
                  <c:v>530240.84567406564</c:v>
                </c:pt>
                <c:pt idx="9">
                  <c:v>598849.37024227052</c:v>
                </c:pt>
                <c:pt idx="10">
                  <c:v>425919.30102656217</c:v>
                </c:pt>
                <c:pt idx="11">
                  <c:v>589392.39361071866</c:v>
                </c:pt>
                <c:pt idx="12">
                  <c:v>2775659.5749212289</c:v>
                </c:pt>
                <c:pt idx="13">
                  <c:v>511218.14458260383</c:v>
                </c:pt>
                <c:pt idx="14">
                  <c:v>719754.4396043903</c:v>
                </c:pt>
                <c:pt idx="15">
                  <c:v>520195.3887720647</c:v>
                </c:pt>
                <c:pt idx="16">
                  <c:v>416525.55654642894</c:v>
                </c:pt>
                <c:pt idx="17">
                  <c:v>1107369.5836454709</c:v>
                </c:pt>
                <c:pt idx="18">
                  <c:v>659841.81950346567</c:v>
                </c:pt>
                <c:pt idx="19">
                  <c:v>930667.5957094616</c:v>
                </c:pt>
                <c:pt idx="20">
                  <c:v>440137.49655331753</c:v>
                </c:pt>
                <c:pt idx="21">
                  <c:v>638038.34755116049</c:v>
                </c:pt>
                <c:pt idx="22">
                  <c:v>667548.28006341239</c:v>
                </c:pt>
                <c:pt idx="23">
                  <c:v>380685.35207889689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80189696"/>
        <c:axId val="180316992"/>
      </c:barChart>
      <c:lineChart>
        <c:grouping val="standard"/>
        <c:varyColors val="0"/>
        <c:ser>
          <c:idx val="0"/>
          <c:order val="0"/>
          <c:tx>
            <c:strRef>
              <c:f>'direct,ref,mm,rtb'!$A$59</c:f>
              <c:strCache>
                <c:ptCount val="1"/>
                <c:pt idx="0">
                  <c:v>referral - Transakce</c:v>
                </c:pt>
              </c:strCache>
            </c:strRef>
          </c:tx>
          <c:cat>
            <c:strRef>
              <c:f>'direct,ref,mm,rtb'!$B$45:$Y$45</c:f>
              <c:strCache>
                <c:ptCount val="24"/>
                <c:pt idx="0">
                  <c:v>2011-09</c:v>
                </c:pt>
                <c:pt idx="1">
                  <c:v>2011-10</c:v>
                </c:pt>
                <c:pt idx="2">
                  <c:v>2011-11</c:v>
                </c:pt>
                <c:pt idx="3">
                  <c:v>2011-12</c:v>
                </c:pt>
                <c:pt idx="4">
                  <c:v>2012-01</c:v>
                </c:pt>
                <c:pt idx="5">
                  <c:v>2012-02</c:v>
                </c:pt>
                <c:pt idx="6">
                  <c:v>2012-03</c:v>
                </c:pt>
                <c:pt idx="7">
                  <c:v>2012-04</c:v>
                </c:pt>
                <c:pt idx="8">
                  <c:v>2012-06</c:v>
                </c:pt>
                <c:pt idx="9">
                  <c:v>2012-07</c:v>
                </c:pt>
                <c:pt idx="10">
                  <c:v>2012-08</c:v>
                </c:pt>
                <c:pt idx="11">
                  <c:v>2012-09</c:v>
                </c:pt>
                <c:pt idx="12">
                  <c:v>2012-10</c:v>
                </c:pt>
                <c:pt idx="13">
                  <c:v>2012-11</c:v>
                </c:pt>
                <c:pt idx="14">
                  <c:v>2012-12</c:v>
                </c:pt>
                <c:pt idx="15">
                  <c:v>2013-01</c:v>
                </c:pt>
                <c:pt idx="16">
                  <c:v>2013-02</c:v>
                </c:pt>
                <c:pt idx="17">
                  <c:v>2013-03</c:v>
                </c:pt>
                <c:pt idx="18">
                  <c:v>2013-04</c:v>
                </c:pt>
                <c:pt idx="19">
                  <c:v>2013-05</c:v>
                </c:pt>
                <c:pt idx="20">
                  <c:v>2013-06</c:v>
                </c:pt>
                <c:pt idx="21">
                  <c:v>2013-07</c:v>
                </c:pt>
                <c:pt idx="22">
                  <c:v>2013-08</c:v>
                </c:pt>
                <c:pt idx="23">
                  <c:v>2013-09</c:v>
                </c:pt>
              </c:strCache>
            </c:strRef>
          </c:cat>
          <c:val>
            <c:numRef>
              <c:f>'direct,ref,mm,rtb'!$B$59:$Y$59</c:f>
              <c:numCache>
                <c:formatCode>#,##0</c:formatCode>
                <c:ptCount val="24"/>
                <c:pt idx="0">
                  <c:v>265.95624267577028</c:v>
                </c:pt>
                <c:pt idx="1">
                  <c:v>2037.404637585875</c:v>
                </c:pt>
                <c:pt idx="2">
                  <c:v>641.6487227649443</c:v>
                </c:pt>
                <c:pt idx="3">
                  <c:v>793.42624222376401</c:v>
                </c:pt>
                <c:pt idx="4">
                  <c:v>282.75966658679732</c:v>
                </c:pt>
                <c:pt idx="5">
                  <c:v>403.87557360983959</c:v>
                </c:pt>
                <c:pt idx="6">
                  <c:v>636.38389417449503</c:v>
                </c:pt>
                <c:pt idx="7">
                  <c:v>505.95670190410112</c:v>
                </c:pt>
                <c:pt idx="8">
                  <c:v>383.63483318987375</c:v>
                </c:pt>
                <c:pt idx="9">
                  <c:v>446.76828391499083</c:v>
                </c:pt>
                <c:pt idx="10">
                  <c:v>444.2583050938311</c:v>
                </c:pt>
                <c:pt idx="11">
                  <c:v>284.12956593611318</c:v>
                </c:pt>
                <c:pt idx="12">
                  <c:v>1901.9238995784187</c:v>
                </c:pt>
                <c:pt idx="13">
                  <c:v>655.37150636443607</c:v>
                </c:pt>
                <c:pt idx="14">
                  <c:v>521.11363831020606</c:v>
                </c:pt>
                <c:pt idx="15">
                  <c:v>407.85577199348967</c:v>
                </c:pt>
                <c:pt idx="16">
                  <c:v>264.02715183985424</c:v>
                </c:pt>
                <c:pt idx="17">
                  <c:v>687.46522126351476</c:v>
                </c:pt>
                <c:pt idx="18">
                  <c:v>340.24707376454461</c:v>
                </c:pt>
                <c:pt idx="19">
                  <c:v>445.22474859344743</c:v>
                </c:pt>
                <c:pt idx="20">
                  <c:v>317.46751151546789</c:v>
                </c:pt>
                <c:pt idx="21">
                  <c:v>244.23158145610481</c:v>
                </c:pt>
                <c:pt idx="22">
                  <c:v>309.15242578331453</c:v>
                </c:pt>
                <c:pt idx="23">
                  <c:v>180.42862343396118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188672"/>
        <c:axId val="180316416"/>
      </c:lineChart>
      <c:catAx>
        <c:axId val="180188672"/>
        <c:scaling>
          <c:orientation val="minMax"/>
        </c:scaling>
        <c:delete val="0"/>
        <c:axPos val="b"/>
        <c:majorTickMark val="none"/>
        <c:minorTickMark val="none"/>
        <c:tickLblPos val="nextTo"/>
        <c:crossAx val="180316416"/>
        <c:crosses val="autoZero"/>
        <c:auto val="1"/>
        <c:lblAlgn val="ctr"/>
        <c:lblOffset val="100"/>
        <c:noMultiLvlLbl val="0"/>
      </c:catAx>
      <c:valAx>
        <c:axId val="18031641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80188672"/>
        <c:crosses val="autoZero"/>
        <c:crossBetween val="between"/>
      </c:valAx>
      <c:valAx>
        <c:axId val="180316992"/>
        <c:scaling>
          <c:orientation val="minMax"/>
        </c:scaling>
        <c:delete val="0"/>
        <c:axPos val="r"/>
        <c:numFmt formatCode="#,##0\ &quot;Kč&quot;" sourceLinked="1"/>
        <c:majorTickMark val="out"/>
        <c:minorTickMark val="none"/>
        <c:tickLblPos val="nextTo"/>
        <c:crossAx val="180189696"/>
        <c:crosses val="max"/>
        <c:crossBetween val="between"/>
      </c:valAx>
      <c:catAx>
        <c:axId val="180189696"/>
        <c:scaling>
          <c:orientation val="minMax"/>
        </c:scaling>
        <c:delete val="1"/>
        <c:axPos val="b"/>
        <c:majorTickMark val="out"/>
        <c:minorTickMark val="none"/>
        <c:tickLblPos val="none"/>
        <c:crossAx val="180316992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Návštěvy a KP - massmail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'direct,ref,mm,rtb'!$A$52</c:f>
              <c:strCache>
                <c:ptCount val="1"/>
                <c:pt idx="0">
                  <c:v>massmail - Návštěvy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'direct,ref,mm,rtb'!$B$45:$Y$45</c:f>
              <c:strCache>
                <c:ptCount val="24"/>
                <c:pt idx="0">
                  <c:v>2011-09</c:v>
                </c:pt>
                <c:pt idx="1">
                  <c:v>2011-10</c:v>
                </c:pt>
                <c:pt idx="2">
                  <c:v>2011-11</c:v>
                </c:pt>
                <c:pt idx="3">
                  <c:v>2011-12</c:v>
                </c:pt>
                <c:pt idx="4">
                  <c:v>2012-01</c:v>
                </c:pt>
                <c:pt idx="5">
                  <c:v>2012-02</c:v>
                </c:pt>
                <c:pt idx="6">
                  <c:v>2012-03</c:v>
                </c:pt>
                <c:pt idx="7">
                  <c:v>2012-04</c:v>
                </c:pt>
                <c:pt idx="8">
                  <c:v>2012-06</c:v>
                </c:pt>
                <c:pt idx="9">
                  <c:v>2012-07</c:v>
                </c:pt>
                <c:pt idx="10">
                  <c:v>2012-08</c:v>
                </c:pt>
                <c:pt idx="11">
                  <c:v>2012-09</c:v>
                </c:pt>
                <c:pt idx="12">
                  <c:v>2012-10</c:v>
                </c:pt>
                <c:pt idx="13">
                  <c:v>2012-11</c:v>
                </c:pt>
                <c:pt idx="14">
                  <c:v>2012-12</c:v>
                </c:pt>
                <c:pt idx="15">
                  <c:v>2013-01</c:v>
                </c:pt>
                <c:pt idx="16">
                  <c:v>2013-02</c:v>
                </c:pt>
                <c:pt idx="17">
                  <c:v>2013-03</c:v>
                </c:pt>
                <c:pt idx="18">
                  <c:v>2013-04</c:v>
                </c:pt>
                <c:pt idx="19">
                  <c:v>2013-05</c:v>
                </c:pt>
                <c:pt idx="20">
                  <c:v>2013-06</c:v>
                </c:pt>
                <c:pt idx="21">
                  <c:v>2013-07</c:v>
                </c:pt>
                <c:pt idx="22">
                  <c:v>2013-08</c:v>
                </c:pt>
                <c:pt idx="23">
                  <c:v>2013-09</c:v>
                </c:pt>
              </c:strCache>
            </c:strRef>
          </c:cat>
          <c:val>
            <c:numRef>
              <c:f>'direct,ref,mm,rtb'!$B$52:$Y$52</c:f>
              <c:numCache>
                <c:formatCode>#,##0</c:formatCode>
                <c:ptCount val="24"/>
                <c:pt idx="0">
                  <c:v>12327.664006963312</c:v>
                </c:pt>
                <c:pt idx="1">
                  <c:v>7216.2251499658405</c:v>
                </c:pt>
                <c:pt idx="2">
                  <c:v>31600.73266978659</c:v>
                </c:pt>
                <c:pt idx="3">
                  <c:v>17940.773447547534</c:v>
                </c:pt>
                <c:pt idx="4">
                  <c:v>22139.884437094017</c:v>
                </c:pt>
                <c:pt idx="5">
                  <c:v>10645.168677871547</c:v>
                </c:pt>
                <c:pt idx="6">
                  <c:v>4385.4945732518945</c:v>
                </c:pt>
                <c:pt idx="7">
                  <c:v>11361.202161355293</c:v>
                </c:pt>
                <c:pt idx="8">
                  <c:v>33484.187769470234</c:v>
                </c:pt>
                <c:pt idx="9">
                  <c:v>19762.312955148052</c:v>
                </c:pt>
                <c:pt idx="10">
                  <c:v>7074.5301366691647</c:v>
                </c:pt>
                <c:pt idx="11">
                  <c:v>8445.8792165399827</c:v>
                </c:pt>
                <c:pt idx="12">
                  <c:v>9235.1564651480548</c:v>
                </c:pt>
                <c:pt idx="13">
                  <c:v>41000.570072374889</c:v>
                </c:pt>
                <c:pt idx="14">
                  <c:v>30069.363528783462</c:v>
                </c:pt>
                <c:pt idx="15">
                  <c:v>28521.089034146233</c:v>
                </c:pt>
                <c:pt idx="16">
                  <c:v>15032.704874484027</c:v>
                </c:pt>
                <c:pt idx="17">
                  <c:v>5301.5204558602672</c:v>
                </c:pt>
                <c:pt idx="18">
                  <c:v>23525.112917673232</c:v>
                </c:pt>
                <c:pt idx="19">
                  <c:v>8136.3129005756173</c:v>
                </c:pt>
                <c:pt idx="20">
                  <c:v>26073.192034503838</c:v>
                </c:pt>
                <c:pt idx="21">
                  <c:v>36834.952083391552</c:v>
                </c:pt>
                <c:pt idx="22">
                  <c:v>22787.702388508671</c:v>
                </c:pt>
                <c:pt idx="23">
                  <c:v>18793.84640259976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80814336"/>
        <c:axId val="180319872"/>
      </c:barChart>
      <c:lineChart>
        <c:grouping val="standard"/>
        <c:varyColors val="0"/>
        <c:ser>
          <c:idx val="1"/>
          <c:order val="1"/>
          <c:tx>
            <c:strRef>
              <c:f>'direct,ref,mm,rtb'!$A$55</c:f>
              <c:strCache>
                <c:ptCount val="1"/>
                <c:pt idx="0">
                  <c:v>massmail - KP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rgbClr val="4F81BD"/>
                </a:solidFill>
              </a:ln>
            </c:spPr>
          </c:marker>
          <c:cat>
            <c:strRef>
              <c:f>'direct,ref,mm,rtb'!$B$45:$Y$45</c:f>
              <c:strCache>
                <c:ptCount val="24"/>
                <c:pt idx="0">
                  <c:v>2011-09</c:v>
                </c:pt>
                <c:pt idx="1">
                  <c:v>2011-10</c:v>
                </c:pt>
                <c:pt idx="2">
                  <c:v>2011-11</c:v>
                </c:pt>
                <c:pt idx="3">
                  <c:v>2011-12</c:v>
                </c:pt>
                <c:pt idx="4">
                  <c:v>2012-01</c:v>
                </c:pt>
                <c:pt idx="5">
                  <c:v>2012-02</c:v>
                </c:pt>
                <c:pt idx="6">
                  <c:v>2012-03</c:v>
                </c:pt>
                <c:pt idx="7">
                  <c:v>2012-04</c:v>
                </c:pt>
                <c:pt idx="8">
                  <c:v>2012-06</c:v>
                </c:pt>
                <c:pt idx="9">
                  <c:v>2012-07</c:v>
                </c:pt>
                <c:pt idx="10">
                  <c:v>2012-08</c:v>
                </c:pt>
                <c:pt idx="11">
                  <c:v>2012-09</c:v>
                </c:pt>
                <c:pt idx="12">
                  <c:v>2012-10</c:v>
                </c:pt>
                <c:pt idx="13">
                  <c:v>2012-11</c:v>
                </c:pt>
                <c:pt idx="14">
                  <c:v>2012-12</c:v>
                </c:pt>
                <c:pt idx="15">
                  <c:v>2013-01</c:v>
                </c:pt>
                <c:pt idx="16">
                  <c:v>2013-02</c:v>
                </c:pt>
                <c:pt idx="17">
                  <c:v>2013-03</c:v>
                </c:pt>
                <c:pt idx="18">
                  <c:v>2013-04</c:v>
                </c:pt>
                <c:pt idx="19">
                  <c:v>2013-05</c:v>
                </c:pt>
                <c:pt idx="20">
                  <c:v>2013-06</c:v>
                </c:pt>
                <c:pt idx="21">
                  <c:v>2013-07</c:v>
                </c:pt>
                <c:pt idx="22">
                  <c:v>2013-08</c:v>
                </c:pt>
                <c:pt idx="23">
                  <c:v>2013-09</c:v>
                </c:pt>
              </c:strCache>
            </c:strRef>
          </c:cat>
          <c:val>
            <c:numRef>
              <c:f>'direct,ref,mm,rtb'!$B$55:$Y$55</c:f>
              <c:numCache>
                <c:formatCode>0.00%</c:formatCode>
                <c:ptCount val="24"/>
                <c:pt idx="0">
                  <c:v>1.8664763994105563E-2</c:v>
                </c:pt>
                <c:pt idx="1">
                  <c:v>3.5675338829228818E-2</c:v>
                </c:pt>
                <c:pt idx="2">
                  <c:v>4.9016161712946921E-3</c:v>
                </c:pt>
                <c:pt idx="3">
                  <c:v>2.6671441747881681E-2</c:v>
                </c:pt>
                <c:pt idx="4">
                  <c:v>1.9120370583244155E-2</c:v>
                </c:pt>
                <c:pt idx="5">
                  <c:v>2.0479387897716448E-2</c:v>
                </c:pt>
                <c:pt idx="6">
                  <c:v>3.2959635915006266E-2</c:v>
                </c:pt>
                <c:pt idx="7">
                  <c:v>1.0868633417806115E-2</c:v>
                </c:pt>
                <c:pt idx="8">
                  <c:v>1.142646391497747E-2</c:v>
                </c:pt>
                <c:pt idx="9">
                  <c:v>3.8384532235249735E-2</c:v>
                </c:pt>
                <c:pt idx="10">
                  <c:v>3.4810969420293436E-2</c:v>
                </c:pt>
                <c:pt idx="11">
                  <c:v>2.8083575894877377E-2</c:v>
                </c:pt>
                <c:pt idx="12">
                  <c:v>2.9045755226307205E-2</c:v>
                </c:pt>
                <c:pt idx="13">
                  <c:v>1.4854490502627191E-2</c:v>
                </c:pt>
                <c:pt idx="14">
                  <c:v>2.3392292079821457E-2</c:v>
                </c:pt>
                <c:pt idx="15">
                  <c:v>1.6417560841266776E-2</c:v>
                </c:pt>
                <c:pt idx="16">
                  <c:v>1.6015172434915483E-2</c:v>
                </c:pt>
                <c:pt idx="17">
                  <c:v>2.3232007213761702E-2</c:v>
                </c:pt>
                <c:pt idx="18">
                  <c:v>1.922583990028694E-2</c:v>
                </c:pt>
                <c:pt idx="19">
                  <c:v>1.9897005293370136E-2</c:v>
                </c:pt>
                <c:pt idx="20">
                  <c:v>9.383750304767003E-3</c:v>
                </c:pt>
                <c:pt idx="21">
                  <c:v>1.9688266873121845E-2</c:v>
                </c:pt>
                <c:pt idx="22">
                  <c:v>1.4709893038010622E-2</c:v>
                </c:pt>
                <c:pt idx="23">
                  <c:v>1.2499911277696717E-2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190720"/>
        <c:axId val="180319296"/>
      </c:lineChart>
      <c:catAx>
        <c:axId val="180190720"/>
        <c:scaling>
          <c:orientation val="minMax"/>
        </c:scaling>
        <c:delete val="0"/>
        <c:axPos val="b"/>
        <c:majorTickMark val="none"/>
        <c:minorTickMark val="none"/>
        <c:tickLblPos val="nextTo"/>
        <c:crossAx val="180319296"/>
        <c:crosses val="autoZero"/>
        <c:auto val="1"/>
        <c:lblAlgn val="ctr"/>
        <c:lblOffset val="100"/>
        <c:noMultiLvlLbl val="0"/>
      </c:catAx>
      <c:valAx>
        <c:axId val="180319296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80190720"/>
        <c:crosses val="autoZero"/>
        <c:crossBetween val="between"/>
      </c:valAx>
      <c:valAx>
        <c:axId val="180319872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crossAx val="180814336"/>
        <c:crosses val="max"/>
        <c:crossBetween val="between"/>
      </c:valAx>
      <c:catAx>
        <c:axId val="180814336"/>
        <c:scaling>
          <c:orientation val="minMax"/>
        </c:scaling>
        <c:delete val="1"/>
        <c:axPos val="b"/>
        <c:majorTickMark val="out"/>
        <c:minorTickMark val="none"/>
        <c:tickLblPos val="none"/>
        <c:crossAx val="180319872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Transakce a obrat</a:t>
            </a:r>
            <a:r>
              <a:rPr lang="cs-CZ" baseline="0"/>
              <a:t> </a:t>
            </a:r>
            <a:r>
              <a:rPr lang="cs-CZ"/>
              <a:t>- massmail</a:t>
            </a:r>
          </a:p>
        </c:rich>
      </c:tx>
      <c:layout>
        <c:manualLayout>
          <c:xMode val="edge"/>
          <c:yMode val="edge"/>
          <c:x val="0.33838921001927069"/>
          <c:y val="1.611278441601946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'direct,ref,mm,rtb'!$A$54</c:f>
              <c:strCache>
                <c:ptCount val="1"/>
                <c:pt idx="0">
                  <c:v>massmail - Obrat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'direct,ref,mm,rtb'!$B$45:$Y$45</c:f>
              <c:strCache>
                <c:ptCount val="24"/>
                <c:pt idx="0">
                  <c:v>2011-09</c:v>
                </c:pt>
                <c:pt idx="1">
                  <c:v>2011-10</c:v>
                </c:pt>
                <c:pt idx="2">
                  <c:v>2011-11</c:v>
                </c:pt>
                <c:pt idx="3">
                  <c:v>2011-12</c:v>
                </c:pt>
                <c:pt idx="4">
                  <c:v>2012-01</c:v>
                </c:pt>
                <c:pt idx="5">
                  <c:v>2012-02</c:v>
                </c:pt>
                <c:pt idx="6">
                  <c:v>2012-03</c:v>
                </c:pt>
                <c:pt idx="7">
                  <c:v>2012-04</c:v>
                </c:pt>
                <c:pt idx="8">
                  <c:v>2012-06</c:v>
                </c:pt>
                <c:pt idx="9">
                  <c:v>2012-07</c:v>
                </c:pt>
                <c:pt idx="10">
                  <c:v>2012-08</c:v>
                </c:pt>
                <c:pt idx="11">
                  <c:v>2012-09</c:v>
                </c:pt>
                <c:pt idx="12">
                  <c:v>2012-10</c:v>
                </c:pt>
                <c:pt idx="13">
                  <c:v>2012-11</c:v>
                </c:pt>
                <c:pt idx="14">
                  <c:v>2012-12</c:v>
                </c:pt>
                <c:pt idx="15">
                  <c:v>2013-01</c:v>
                </c:pt>
                <c:pt idx="16">
                  <c:v>2013-02</c:v>
                </c:pt>
                <c:pt idx="17">
                  <c:v>2013-03</c:v>
                </c:pt>
                <c:pt idx="18">
                  <c:v>2013-04</c:v>
                </c:pt>
                <c:pt idx="19">
                  <c:v>2013-05</c:v>
                </c:pt>
                <c:pt idx="20">
                  <c:v>2013-06</c:v>
                </c:pt>
                <c:pt idx="21">
                  <c:v>2013-07</c:v>
                </c:pt>
                <c:pt idx="22">
                  <c:v>2013-08</c:v>
                </c:pt>
                <c:pt idx="23">
                  <c:v>2013-09</c:v>
                </c:pt>
              </c:strCache>
            </c:strRef>
          </c:cat>
          <c:val>
            <c:numRef>
              <c:f>'direct,ref,mm,rtb'!$B$54:$Y$54</c:f>
              <c:numCache>
                <c:formatCode>#,##0\ "Kč"</c:formatCode>
                <c:ptCount val="24"/>
                <c:pt idx="0">
                  <c:v>449472.62441773701</c:v>
                </c:pt>
                <c:pt idx="1">
                  <c:v>382138.05262530589</c:v>
                </c:pt>
                <c:pt idx="2">
                  <c:v>175194.82356502919</c:v>
                </c:pt>
                <c:pt idx="3">
                  <c:v>390347.08526002226</c:v>
                </c:pt>
                <c:pt idx="4">
                  <c:v>575842.45165432745</c:v>
                </c:pt>
                <c:pt idx="5">
                  <c:v>265897.35466991307</c:v>
                </c:pt>
                <c:pt idx="6">
                  <c:v>185853.99764931103</c:v>
                </c:pt>
                <c:pt idx="7">
                  <c:v>180721.39294793282</c:v>
                </c:pt>
                <c:pt idx="8">
                  <c:v>367290.4175423698</c:v>
                </c:pt>
                <c:pt idx="9">
                  <c:v>388850.52349849482</c:v>
                </c:pt>
                <c:pt idx="10">
                  <c:v>281980.57295975502</c:v>
                </c:pt>
                <c:pt idx="11">
                  <c:v>367864.44682965404</c:v>
                </c:pt>
                <c:pt idx="12">
                  <c:v>269138.74315253517</c:v>
                </c:pt>
                <c:pt idx="13">
                  <c:v>537438.38694456907</c:v>
                </c:pt>
                <c:pt idx="14">
                  <c:v>690214.37368807895</c:v>
                </c:pt>
                <c:pt idx="15">
                  <c:v>497745.89646154025</c:v>
                </c:pt>
                <c:pt idx="16">
                  <c:v>222622.5511099865</c:v>
                </c:pt>
                <c:pt idx="17">
                  <c:v>253688.0040298118</c:v>
                </c:pt>
                <c:pt idx="18">
                  <c:v>695506.49123334186</c:v>
                </c:pt>
                <c:pt idx="19">
                  <c:v>221054.01880804036</c:v>
                </c:pt>
                <c:pt idx="20">
                  <c:v>364691.42106532655</c:v>
                </c:pt>
                <c:pt idx="21">
                  <c:v>966865.89220894605</c:v>
                </c:pt>
                <c:pt idx="22">
                  <c:v>316456.84693050833</c:v>
                </c:pt>
                <c:pt idx="23">
                  <c:v>210963.02599513953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80816384"/>
        <c:axId val="180511296"/>
      </c:barChart>
      <c:lineChart>
        <c:grouping val="standard"/>
        <c:varyColors val="0"/>
        <c:ser>
          <c:idx val="0"/>
          <c:order val="0"/>
          <c:tx>
            <c:strRef>
              <c:f>'direct,ref,mm,rtb'!$A$53</c:f>
              <c:strCache>
                <c:ptCount val="1"/>
                <c:pt idx="0">
                  <c:v>massmail - Transakce</c:v>
                </c:pt>
              </c:strCache>
            </c:strRef>
          </c:tx>
          <c:cat>
            <c:strRef>
              <c:f>'direct,ref,mm,rtb'!$B$45:$Y$45</c:f>
              <c:strCache>
                <c:ptCount val="24"/>
                <c:pt idx="0">
                  <c:v>2011-09</c:v>
                </c:pt>
                <c:pt idx="1">
                  <c:v>2011-10</c:v>
                </c:pt>
                <c:pt idx="2">
                  <c:v>2011-11</c:v>
                </c:pt>
                <c:pt idx="3">
                  <c:v>2011-12</c:v>
                </c:pt>
                <c:pt idx="4">
                  <c:v>2012-01</c:v>
                </c:pt>
                <c:pt idx="5">
                  <c:v>2012-02</c:v>
                </c:pt>
                <c:pt idx="6">
                  <c:v>2012-03</c:v>
                </c:pt>
                <c:pt idx="7">
                  <c:v>2012-04</c:v>
                </c:pt>
                <c:pt idx="8">
                  <c:v>2012-06</c:v>
                </c:pt>
                <c:pt idx="9">
                  <c:v>2012-07</c:v>
                </c:pt>
                <c:pt idx="10">
                  <c:v>2012-08</c:v>
                </c:pt>
                <c:pt idx="11">
                  <c:v>2012-09</c:v>
                </c:pt>
                <c:pt idx="12">
                  <c:v>2012-10</c:v>
                </c:pt>
                <c:pt idx="13">
                  <c:v>2012-11</c:v>
                </c:pt>
                <c:pt idx="14">
                  <c:v>2012-12</c:v>
                </c:pt>
                <c:pt idx="15">
                  <c:v>2013-01</c:v>
                </c:pt>
                <c:pt idx="16">
                  <c:v>2013-02</c:v>
                </c:pt>
                <c:pt idx="17">
                  <c:v>2013-03</c:v>
                </c:pt>
                <c:pt idx="18">
                  <c:v>2013-04</c:v>
                </c:pt>
                <c:pt idx="19">
                  <c:v>2013-05</c:v>
                </c:pt>
                <c:pt idx="20">
                  <c:v>2013-06</c:v>
                </c:pt>
                <c:pt idx="21">
                  <c:v>2013-07</c:v>
                </c:pt>
                <c:pt idx="22">
                  <c:v>2013-08</c:v>
                </c:pt>
                <c:pt idx="23">
                  <c:v>2013-09</c:v>
                </c:pt>
              </c:strCache>
            </c:strRef>
          </c:cat>
          <c:val>
            <c:numRef>
              <c:f>'direct,ref,mm,rtb'!$B$53:$Y$53</c:f>
              <c:numCache>
                <c:formatCode>#,##0</c:formatCode>
                <c:ptCount val="24"/>
                <c:pt idx="0">
                  <c:v>230.09293928859992</c:v>
                </c:pt>
                <c:pt idx="1">
                  <c:v>257.44127729303392</c:v>
                </c:pt>
                <c:pt idx="2">
                  <c:v>154.89466227898643</c:v>
                </c:pt>
                <c:pt idx="3">
                  <c:v>478.50629391820644</c:v>
                </c:pt>
                <c:pt idx="4">
                  <c:v>423.32279510743751</c:v>
                </c:pt>
                <c:pt idx="5">
                  <c:v>218.00653859075274</c:v>
                </c:pt>
                <c:pt idx="6">
                  <c:v>144.54430444161821</c:v>
                </c:pt>
                <c:pt idx="7">
                  <c:v>123.4807414773572</c:v>
                </c:pt>
                <c:pt idx="8">
                  <c:v>382.6058632701816</c:v>
                </c:pt>
                <c:pt idx="9">
                  <c:v>758.56713866997393</c:v>
                </c:pt>
                <c:pt idx="10">
                  <c:v>246.27125225053464</c:v>
                </c:pt>
                <c:pt idx="11">
                  <c:v>237.19048997666809</c:v>
                </c:pt>
                <c:pt idx="12">
                  <c:v>268.24209416333889</c:v>
                </c:pt>
                <c:pt idx="13">
                  <c:v>609.0425787423934</c:v>
                </c:pt>
                <c:pt idx="14">
                  <c:v>703.39133431963353</c:v>
                </c:pt>
                <c:pt idx="15">
                  <c:v>468.24671447728247</c:v>
                </c:pt>
                <c:pt idx="16">
                  <c:v>240.75136072805623</c:v>
                </c:pt>
                <c:pt idx="17">
                  <c:v>123.16496147445095</c:v>
                </c:pt>
                <c:pt idx="18">
                  <c:v>452.29005459135772</c:v>
                </c:pt>
                <c:pt idx="19">
                  <c:v>161.8882608512688</c:v>
                </c:pt>
                <c:pt idx="20">
                  <c:v>244.664323700024</c:v>
                </c:pt>
                <c:pt idx="21">
                  <c:v>725.21636687646833</c:v>
                </c:pt>
                <c:pt idx="22">
                  <c:v>335.20466471698171</c:v>
                </c:pt>
                <c:pt idx="23">
                  <c:v>234.92141259915661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815360"/>
        <c:axId val="180510720"/>
      </c:lineChart>
      <c:catAx>
        <c:axId val="180815360"/>
        <c:scaling>
          <c:orientation val="minMax"/>
        </c:scaling>
        <c:delete val="0"/>
        <c:axPos val="b"/>
        <c:majorTickMark val="none"/>
        <c:minorTickMark val="none"/>
        <c:tickLblPos val="nextTo"/>
        <c:crossAx val="180510720"/>
        <c:crosses val="autoZero"/>
        <c:auto val="1"/>
        <c:lblAlgn val="ctr"/>
        <c:lblOffset val="100"/>
        <c:noMultiLvlLbl val="0"/>
      </c:catAx>
      <c:valAx>
        <c:axId val="18051072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80815360"/>
        <c:crosses val="autoZero"/>
        <c:crossBetween val="between"/>
      </c:valAx>
      <c:valAx>
        <c:axId val="180511296"/>
        <c:scaling>
          <c:orientation val="minMax"/>
        </c:scaling>
        <c:delete val="0"/>
        <c:axPos val="r"/>
        <c:numFmt formatCode="#,##0\ &quot;Kč&quot;" sourceLinked="1"/>
        <c:majorTickMark val="out"/>
        <c:minorTickMark val="none"/>
        <c:tickLblPos val="nextTo"/>
        <c:crossAx val="180816384"/>
        <c:crosses val="max"/>
        <c:crossBetween val="between"/>
      </c:valAx>
      <c:catAx>
        <c:axId val="180816384"/>
        <c:scaling>
          <c:orientation val="minMax"/>
        </c:scaling>
        <c:delete val="1"/>
        <c:axPos val="b"/>
        <c:majorTickMark val="out"/>
        <c:minorTickMark val="none"/>
        <c:tickLblPos val="none"/>
        <c:crossAx val="180511296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Obrat</a:t>
            </a:r>
            <a:r>
              <a:rPr lang="cs-CZ" baseline="0"/>
              <a:t> - </a:t>
            </a:r>
            <a:r>
              <a:rPr lang="cs-CZ" sz="1800" b="1" i="0" u="none" strike="noStrike" baseline="0">
                <a:effectLst/>
              </a:rPr>
              <a:t>kanály</a:t>
            </a:r>
            <a:r>
              <a:rPr lang="cs-CZ" baseline="0"/>
              <a:t> - loni</a:t>
            </a:r>
            <a:endParaRPr lang="cs-CZ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4764027138117175E-2"/>
          <c:y val="0.14448225306986551"/>
          <c:w val="0.96724343419336978"/>
          <c:h val="0.8381019402547436"/>
        </c:manualLayout>
      </c:layout>
      <c:pie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prehled!$Q$24:$Q$30</c:f>
              <c:strCache>
                <c:ptCount val="6"/>
                <c:pt idx="0">
                  <c:v>organic</c:v>
                </c:pt>
                <c:pt idx="1">
                  <c:v>cpc</c:v>
                </c:pt>
                <c:pt idx="2">
                  <c:v>zbožáky</c:v>
                </c:pt>
                <c:pt idx="3">
                  <c:v>direct</c:v>
                </c:pt>
                <c:pt idx="4">
                  <c:v>referral</c:v>
                </c:pt>
                <c:pt idx="5">
                  <c:v>massmail</c:v>
                </c:pt>
              </c:strCache>
            </c:strRef>
          </c:cat>
          <c:val>
            <c:numRef>
              <c:f>prehled!$S$24:$S$30</c:f>
              <c:numCache>
                <c:formatCode>#,##0\ "Kč"</c:formatCode>
                <c:ptCount val="7"/>
                <c:pt idx="0">
                  <c:v>1128459.8917390101</c:v>
                </c:pt>
                <c:pt idx="1">
                  <c:v>911382.90685243998</c:v>
                </c:pt>
                <c:pt idx="2">
                  <c:v>553269.56807672256</c:v>
                </c:pt>
                <c:pt idx="3">
                  <c:v>989773.30347744212</c:v>
                </c:pt>
                <c:pt idx="4">
                  <c:v>589392.39361071866</c:v>
                </c:pt>
                <c:pt idx="5">
                  <c:v>367864.44682965404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Návštěvy a KP - RTB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'direct,ref,mm,rtb'!$A$64</c:f>
              <c:strCache>
                <c:ptCount val="1"/>
                <c:pt idx="0">
                  <c:v>RTB - Návštěvy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'direct,ref,mm,rtb'!$B$45:$Y$45</c:f>
              <c:strCache>
                <c:ptCount val="24"/>
                <c:pt idx="0">
                  <c:v>2011-09</c:v>
                </c:pt>
                <c:pt idx="1">
                  <c:v>2011-10</c:v>
                </c:pt>
                <c:pt idx="2">
                  <c:v>2011-11</c:v>
                </c:pt>
                <c:pt idx="3">
                  <c:v>2011-12</c:v>
                </c:pt>
                <c:pt idx="4">
                  <c:v>2012-01</c:v>
                </c:pt>
                <c:pt idx="5">
                  <c:v>2012-02</c:v>
                </c:pt>
                <c:pt idx="6">
                  <c:v>2012-03</c:v>
                </c:pt>
                <c:pt idx="7">
                  <c:v>2012-04</c:v>
                </c:pt>
                <c:pt idx="8">
                  <c:v>2012-06</c:v>
                </c:pt>
                <c:pt idx="9">
                  <c:v>2012-07</c:v>
                </c:pt>
                <c:pt idx="10">
                  <c:v>2012-08</c:v>
                </c:pt>
                <c:pt idx="11">
                  <c:v>2012-09</c:v>
                </c:pt>
                <c:pt idx="12">
                  <c:v>2012-10</c:v>
                </c:pt>
                <c:pt idx="13">
                  <c:v>2012-11</c:v>
                </c:pt>
                <c:pt idx="14">
                  <c:v>2012-12</c:v>
                </c:pt>
                <c:pt idx="15">
                  <c:v>2013-01</c:v>
                </c:pt>
                <c:pt idx="16">
                  <c:v>2013-02</c:v>
                </c:pt>
                <c:pt idx="17">
                  <c:v>2013-03</c:v>
                </c:pt>
                <c:pt idx="18">
                  <c:v>2013-04</c:v>
                </c:pt>
                <c:pt idx="19">
                  <c:v>2013-05</c:v>
                </c:pt>
                <c:pt idx="20">
                  <c:v>2013-06</c:v>
                </c:pt>
                <c:pt idx="21">
                  <c:v>2013-07</c:v>
                </c:pt>
                <c:pt idx="22">
                  <c:v>2013-08</c:v>
                </c:pt>
                <c:pt idx="23">
                  <c:v>2013-09</c:v>
                </c:pt>
              </c:strCache>
            </c:strRef>
          </c:cat>
          <c:val>
            <c:numRef>
              <c:f>'direct,ref,mm,rtb'!$B$64:$Y$64</c:f>
              <c:numCache>
                <c:formatCode>#,##0</c:formatCode>
                <c:ptCount val="24"/>
                <c:pt idx="0">
                  <c:v>11660.345944978473</c:v>
                </c:pt>
                <c:pt idx="1">
                  <c:v>21241.740367173828</c:v>
                </c:pt>
                <c:pt idx="2">
                  <c:v>11151.279247608029</c:v>
                </c:pt>
                <c:pt idx="3">
                  <c:v>9714.8265233587663</c:v>
                </c:pt>
                <c:pt idx="4">
                  <c:v>8817.3367877251512</c:v>
                </c:pt>
                <c:pt idx="5">
                  <c:v>18385.758761481724</c:v>
                </c:pt>
                <c:pt idx="6">
                  <c:v>17779.443399479416</c:v>
                </c:pt>
                <c:pt idx="7">
                  <c:v>17550.932537200064</c:v>
                </c:pt>
                <c:pt idx="8">
                  <c:v>12367.077589883764</c:v>
                </c:pt>
                <c:pt idx="9">
                  <c:v>18982.369532504308</c:v>
                </c:pt>
                <c:pt idx="10">
                  <c:v>13084.494374282791</c:v>
                </c:pt>
                <c:pt idx="11">
                  <c:v>9220.6292744570783</c:v>
                </c:pt>
                <c:pt idx="12">
                  <c:v>13580.955761019857</c:v>
                </c:pt>
                <c:pt idx="13">
                  <c:v>16740.360032278335</c:v>
                </c:pt>
                <c:pt idx="14">
                  <c:v>12656.79872074422</c:v>
                </c:pt>
                <c:pt idx="15">
                  <c:v>20303.036821128677</c:v>
                </c:pt>
                <c:pt idx="16">
                  <c:v>19229.892227849756</c:v>
                </c:pt>
                <c:pt idx="17">
                  <c:v>22417.666503278793</c:v>
                </c:pt>
                <c:pt idx="18">
                  <c:v>11605.759744497238</c:v>
                </c:pt>
                <c:pt idx="19">
                  <c:v>22862.335397838604</c:v>
                </c:pt>
                <c:pt idx="20">
                  <c:v>15854.024951510217</c:v>
                </c:pt>
                <c:pt idx="21">
                  <c:v>14546.294342196647</c:v>
                </c:pt>
                <c:pt idx="22">
                  <c:v>17891.344667143752</c:v>
                </c:pt>
                <c:pt idx="23">
                  <c:v>12804.918989483891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80190208"/>
        <c:axId val="180514176"/>
      </c:barChart>
      <c:lineChart>
        <c:grouping val="standard"/>
        <c:varyColors val="0"/>
        <c:ser>
          <c:idx val="1"/>
          <c:order val="1"/>
          <c:tx>
            <c:strRef>
              <c:f>'direct,ref,mm,rtb'!$A$67</c:f>
              <c:strCache>
                <c:ptCount val="1"/>
                <c:pt idx="0">
                  <c:v>RTB - KP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rgbClr val="4F81BD"/>
                </a:solidFill>
              </a:ln>
            </c:spPr>
          </c:marker>
          <c:cat>
            <c:strRef>
              <c:f>'direct,ref,mm,rtb'!$B$45:$Y$45</c:f>
              <c:strCache>
                <c:ptCount val="24"/>
                <c:pt idx="0">
                  <c:v>2011-09</c:v>
                </c:pt>
                <c:pt idx="1">
                  <c:v>2011-10</c:v>
                </c:pt>
                <c:pt idx="2">
                  <c:v>2011-11</c:v>
                </c:pt>
                <c:pt idx="3">
                  <c:v>2011-12</c:v>
                </c:pt>
                <c:pt idx="4">
                  <c:v>2012-01</c:v>
                </c:pt>
                <c:pt idx="5">
                  <c:v>2012-02</c:v>
                </c:pt>
                <c:pt idx="6">
                  <c:v>2012-03</c:v>
                </c:pt>
                <c:pt idx="7">
                  <c:v>2012-04</c:v>
                </c:pt>
                <c:pt idx="8">
                  <c:v>2012-06</c:v>
                </c:pt>
                <c:pt idx="9">
                  <c:v>2012-07</c:v>
                </c:pt>
                <c:pt idx="10">
                  <c:v>2012-08</c:v>
                </c:pt>
                <c:pt idx="11">
                  <c:v>2012-09</c:v>
                </c:pt>
                <c:pt idx="12">
                  <c:v>2012-10</c:v>
                </c:pt>
                <c:pt idx="13">
                  <c:v>2012-11</c:v>
                </c:pt>
                <c:pt idx="14">
                  <c:v>2012-12</c:v>
                </c:pt>
                <c:pt idx="15">
                  <c:v>2013-01</c:v>
                </c:pt>
                <c:pt idx="16">
                  <c:v>2013-02</c:v>
                </c:pt>
                <c:pt idx="17">
                  <c:v>2013-03</c:v>
                </c:pt>
                <c:pt idx="18">
                  <c:v>2013-04</c:v>
                </c:pt>
                <c:pt idx="19">
                  <c:v>2013-05</c:v>
                </c:pt>
                <c:pt idx="20">
                  <c:v>2013-06</c:v>
                </c:pt>
                <c:pt idx="21">
                  <c:v>2013-07</c:v>
                </c:pt>
                <c:pt idx="22">
                  <c:v>2013-08</c:v>
                </c:pt>
                <c:pt idx="23">
                  <c:v>2013-09</c:v>
                </c:pt>
              </c:strCache>
            </c:strRef>
          </c:cat>
          <c:val>
            <c:numRef>
              <c:f>'direct,ref,mm,rtb'!$B$67:$Y$67</c:f>
              <c:numCache>
                <c:formatCode>0.00%</c:formatCode>
                <c:ptCount val="24"/>
                <c:pt idx="0">
                  <c:v>2.7679088572180273E-2</c:v>
                </c:pt>
                <c:pt idx="1">
                  <c:v>1.0592609886644656E-2</c:v>
                </c:pt>
                <c:pt idx="2">
                  <c:v>1.002491888747954E-2</c:v>
                </c:pt>
                <c:pt idx="3">
                  <c:v>1.9608432562655168E-2</c:v>
                </c:pt>
                <c:pt idx="4">
                  <c:v>2.9036786438032852E-2</c:v>
                </c:pt>
                <c:pt idx="5">
                  <c:v>1.3259493464372918E-2</c:v>
                </c:pt>
                <c:pt idx="6">
                  <c:v>1.3590058654590793E-2</c:v>
                </c:pt>
                <c:pt idx="7">
                  <c:v>1.738400032886394E-2</c:v>
                </c:pt>
                <c:pt idx="8">
                  <c:v>1.7640725894749985E-2</c:v>
                </c:pt>
                <c:pt idx="9">
                  <c:v>1.04768808848905E-2</c:v>
                </c:pt>
                <c:pt idx="10">
                  <c:v>1.220020426361949E-2</c:v>
                </c:pt>
                <c:pt idx="11">
                  <c:v>2.3142345401556744E-2</c:v>
                </c:pt>
                <c:pt idx="12">
                  <c:v>1.2327424523398517E-2</c:v>
                </c:pt>
                <c:pt idx="13">
                  <c:v>1.9206477787669398E-2</c:v>
                </c:pt>
                <c:pt idx="14">
                  <c:v>2.3771161625057758E-2</c:v>
                </c:pt>
                <c:pt idx="15">
                  <c:v>1.5692687854687918E-2</c:v>
                </c:pt>
                <c:pt idx="16">
                  <c:v>1.0237109375071961E-2</c:v>
                </c:pt>
                <c:pt idx="17">
                  <c:v>1.4223942238639969E-2</c:v>
                </c:pt>
                <c:pt idx="18">
                  <c:v>1.5172060444651879E-2</c:v>
                </c:pt>
                <c:pt idx="19">
                  <c:v>8.2587426976936159E-3</c:v>
                </c:pt>
                <c:pt idx="20">
                  <c:v>2.0849150430390546E-2</c:v>
                </c:pt>
                <c:pt idx="21">
                  <c:v>2.0807465809389185E-2</c:v>
                </c:pt>
                <c:pt idx="22">
                  <c:v>2.048162207722172E-2</c:v>
                </c:pt>
                <c:pt idx="23">
                  <c:v>2.4724975326919581E-2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816896"/>
        <c:axId val="180513600"/>
      </c:lineChart>
      <c:catAx>
        <c:axId val="180816896"/>
        <c:scaling>
          <c:orientation val="minMax"/>
        </c:scaling>
        <c:delete val="0"/>
        <c:axPos val="b"/>
        <c:majorTickMark val="none"/>
        <c:minorTickMark val="none"/>
        <c:tickLblPos val="nextTo"/>
        <c:crossAx val="180513600"/>
        <c:crosses val="autoZero"/>
        <c:auto val="1"/>
        <c:lblAlgn val="ctr"/>
        <c:lblOffset val="100"/>
        <c:noMultiLvlLbl val="0"/>
      </c:catAx>
      <c:valAx>
        <c:axId val="180513600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80816896"/>
        <c:crosses val="autoZero"/>
        <c:crossBetween val="between"/>
      </c:valAx>
      <c:valAx>
        <c:axId val="180514176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crossAx val="180190208"/>
        <c:crosses val="max"/>
        <c:crossBetween val="between"/>
      </c:valAx>
      <c:catAx>
        <c:axId val="180190208"/>
        <c:scaling>
          <c:orientation val="minMax"/>
        </c:scaling>
        <c:delete val="1"/>
        <c:axPos val="b"/>
        <c:majorTickMark val="out"/>
        <c:minorTickMark val="none"/>
        <c:tickLblPos val="none"/>
        <c:crossAx val="180514176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Transakce a obrat</a:t>
            </a:r>
            <a:r>
              <a:rPr lang="cs-CZ" baseline="0"/>
              <a:t> </a:t>
            </a:r>
            <a:r>
              <a:rPr lang="cs-CZ"/>
              <a:t>- RTB</a:t>
            </a:r>
          </a:p>
        </c:rich>
      </c:tx>
      <c:layout>
        <c:manualLayout>
          <c:xMode val="edge"/>
          <c:yMode val="edge"/>
          <c:x val="0.33838921001927097"/>
          <c:y val="1.611278441601946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'direct,ref,mm,rtb'!$A$66</c:f>
              <c:strCache>
                <c:ptCount val="1"/>
                <c:pt idx="0">
                  <c:v>RTB - Obrat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'direct,ref,mm,rtb'!$B$45:$Y$45</c:f>
              <c:strCache>
                <c:ptCount val="24"/>
                <c:pt idx="0">
                  <c:v>2011-09</c:v>
                </c:pt>
                <c:pt idx="1">
                  <c:v>2011-10</c:v>
                </c:pt>
                <c:pt idx="2">
                  <c:v>2011-11</c:v>
                </c:pt>
                <c:pt idx="3">
                  <c:v>2011-12</c:v>
                </c:pt>
                <c:pt idx="4">
                  <c:v>2012-01</c:v>
                </c:pt>
                <c:pt idx="5">
                  <c:v>2012-02</c:v>
                </c:pt>
                <c:pt idx="6">
                  <c:v>2012-03</c:v>
                </c:pt>
                <c:pt idx="7">
                  <c:v>2012-04</c:v>
                </c:pt>
                <c:pt idx="8">
                  <c:v>2012-06</c:v>
                </c:pt>
                <c:pt idx="9">
                  <c:v>2012-07</c:v>
                </c:pt>
                <c:pt idx="10">
                  <c:v>2012-08</c:v>
                </c:pt>
                <c:pt idx="11">
                  <c:v>2012-09</c:v>
                </c:pt>
                <c:pt idx="12">
                  <c:v>2012-10</c:v>
                </c:pt>
                <c:pt idx="13">
                  <c:v>2012-11</c:v>
                </c:pt>
                <c:pt idx="14">
                  <c:v>2012-12</c:v>
                </c:pt>
                <c:pt idx="15">
                  <c:v>2013-01</c:v>
                </c:pt>
                <c:pt idx="16">
                  <c:v>2013-02</c:v>
                </c:pt>
                <c:pt idx="17">
                  <c:v>2013-03</c:v>
                </c:pt>
                <c:pt idx="18">
                  <c:v>2013-04</c:v>
                </c:pt>
                <c:pt idx="19">
                  <c:v>2013-05</c:v>
                </c:pt>
                <c:pt idx="20">
                  <c:v>2013-06</c:v>
                </c:pt>
                <c:pt idx="21">
                  <c:v>2013-07</c:v>
                </c:pt>
                <c:pt idx="22">
                  <c:v>2013-08</c:v>
                </c:pt>
                <c:pt idx="23">
                  <c:v>2013-09</c:v>
                </c:pt>
              </c:strCache>
            </c:strRef>
          </c:cat>
          <c:val>
            <c:numRef>
              <c:f>'direct,ref,mm,rtb'!$B$66:$Y$66</c:f>
              <c:numCache>
                <c:formatCode>#,##0\ "Kč"</c:formatCode>
                <c:ptCount val="24"/>
                <c:pt idx="0">
                  <c:v>400328.07759205275</c:v>
                </c:pt>
                <c:pt idx="1">
                  <c:v>444584.8048343244</c:v>
                </c:pt>
                <c:pt idx="2">
                  <c:v>155190.67488816517</c:v>
                </c:pt>
                <c:pt idx="3">
                  <c:v>310663.68774776766</c:v>
                </c:pt>
                <c:pt idx="4">
                  <c:v>258680.22464849579</c:v>
                </c:pt>
                <c:pt idx="5">
                  <c:v>529440.13455734018</c:v>
                </c:pt>
                <c:pt idx="6">
                  <c:v>354397.15116591152</c:v>
                </c:pt>
                <c:pt idx="7">
                  <c:v>600621.14854672004</c:v>
                </c:pt>
                <c:pt idx="8">
                  <c:v>245305.15492270674</c:v>
                </c:pt>
                <c:pt idx="9">
                  <c:v>310086.00037312484</c:v>
                </c:pt>
                <c:pt idx="10">
                  <c:v>147353.773185592</c:v>
                </c:pt>
                <c:pt idx="11">
                  <c:v>313526.25675899972</c:v>
                </c:pt>
                <c:pt idx="12">
                  <c:v>236128.28554351639</c:v>
                </c:pt>
                <c:pt idx="13">
                  <c:v>440137.45093987969</c:v>
                </c:pt>
                <c:pt idx="14">
                  <c:v>407849.32575051568</c:v>
                </c:pt>
                <c:pt idx="15">
                  <c:v>643484.08363336429</c:v>
                </c:pt>
                <c:pt idx="16">
                  <c:v>456204.15915947518</c:v>
                </c:pt>
                <c:pt idx="17">
                  <c:v>302218.01723447302</c:v>
                </c:pt>
                <c:pt idx="18">
                  <c:v>375069.8426675623</c:v>
                </c:pt>
                <c:pt idx="19">
                  <c:v>293624.16737724579</c:v>
                </c:pt>
                <c:pt idx="20">
                  <c:v>477174.19300909247</c:v>
                </c:pt>
                <c:pt idx="21">
                  <c:v>571662.4490811025</c:v>
                </c:pt>
                <c:pt idx="22">
                  <c:v>654036.8559982779</c:v>
                </c:pt>
                <c:pt idx="23">
                  <c:v>227356.5351186585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80667392"/>
        <c:axId val="180517056"/>
      </c:barChart>
      <c:lineChart>
        <c:grouping val="standard"/>
        <c:varyColors val="0"/>
        <c:ser>
          <c:idx val="0"/>
          <c:order val="0"/>
          <c:tx>
            <c:strRef>
              <c:f>'direct,ref,mm,rtb'!$A$65</c:f>
              <c:strCache>
                <c:ptCount val="1"/>
                <c:pt idx="0">
                  <c:v>RTB - Transakce</c:v>
                </c:pt>
              </c:strCache>
            </c:strRef>
          </c:tx>
          <c:cat>
            <c:strRef>
              <c:f>'direct,ref,mm,rtb'!$B$45:$Y$45</c:f>
              <c:strCache>
                <c:ptCount val="24"/>
                <c:pt idx="0">
                  <c:v>2011-09</c:v>
                </c:pt>
                <c:pt idx="1">
                  <c:v>2011-10</c:v>
                </c:pt>
                <c:pt idx="2">
                  <c:v>2011-11</c:v>
                </c:pt>
                <c:pt idx="3">
                  <c:v>2011-12</c:v>
                </c:pt>
                <c:pt idx="4">
                  <c:v>2012-01</c:v>
                </c:pt>
                <c:pt idx="5">
                  <c:v>2012-02</c:v>
                </c:pt>
                <c:pt idx="6">
                  <c:v>2012-03</c:v>
                </c:pt>
                <c:pt idx="7">
                  <c:v>2012-04</c:v>
                </c:pt>
                <c:pt idx="8">
                  <c:v>2012-06</c:v>
                </c:pt>
                <c:pt idx="9">
                  <c:v>2012-07</c:v>
                </c:pt>
                <c:pt idx="10">
                  <c:v>2012-08</c:v>
                </c:pt>
                <c:pt idx="11">
                  <c:v>2012-09</c:v>
                </c:pt>
                <c:pt idx="12">
                  <c:v>2012-10</c:v>
                </c:pt>
                <c:pt idx="13">
                  <c:v>2012-11</c:v>
                </c:pt>
                <c:pt idx="14">
                  <c:v>2012-12</c:v>
                </c:pt>
                <c:pt idx="15">
                  <c:v>2013-01</c:v>
                </c:pt>
                <c:pt idx="16">
                  <c:v>2013-02</c:v>
                </c:pt>
                <c:pt idx="17">
                  <c:v>2013-03</c:v>
                </c:pt>
                <c:pt idx="18">
                  <c:v>2013-04</c:v>
                </c:pt>
                <c:pt idx="19">
                  <c:v>2013-05</c:v>
                </c:pt>
                <c:pt idx="20">
                  <c:v>2013-06</c:v>
                </c:pt>
                <c:pt idx="21">
                  <c:v>2013-07</c:v>
                </c:pt>
                <c:pt idx="22">
                  <c:v>2013-08</c:v>
                </c:pt>
                <c:pt idx="23">
                  <c:v>2013-09</c:v>
                </c:pt>
              </c:strCache>
            </c:strRef>
          </c:cat>
          <c:val>
            <c:numRef>
              <c:f>'direct,ref,mm,rtb'!$B$65:$Y$65</c:f>
              <c:numCache>
                <c:formatCode>#,##0</c:formatCode>
                <c:ptCount val="24"/>
                <c:pt idx="0">
                  <c:v>322.74774819332225</c:v>
                </c:pt>
                <c:pt idx="1">
                  <c:v>225.00546902286439</c:v>
                </c:pt>
                <c:pt idx="2">
                  <c:v>111.79066994890437</c:v>
                </c:pt>
                <c:pt idx="3">
                  <c:v>190.49252074117413</c:v>
                </c:pt>
                <c:pt idx="4">
                  <c:v>256.02712525738582</c:v>
                </c:pt>
                <c:pt idx="5">
                  <c:v>243.78584813540402</c:v>
                </c:pt>
                <c:pt idx="6">
                  <c:v>241.62367864490241</c:v>
                </c:pt>
                <c:pt idx="7">
                  <c:v>305.10541699855474</c:v>
                </c:pt>
                <c:pt idx="8">
                  <c:v>218.16422588224475</c:v>
                </c:pt>
                <c:pt idx="9">
                  <c:v>198.8760245050222</c:v>
                </c:pt>
                <c:pt idx="10">
                  <c:v>159.63350405243014</c:v>
                </c:pt>
                <c:pt idx="11">
                  <c:v>213.38698748919126</c:v>
                </c:pt>
                <c:pt idx="12">
                  <c:v>167.41820709958657</c:v>
                </c:pt>
                <c:pt idx="13">
                  <c:v>321.5233531175424</c:v>
                </c:pt>
                <c:pt idx="14">
                  <c:v>300.86680804663513</c:v>
                </c:pt>
                <c:pt idx="15">
                  <c:v>318.60921933620756</c:v>
                </c:pt>
                <c:pt idx="16">
                  <c:v>196.85851000734417</c:v>
                </c:pt>
                <c:pt idx="17">
                  <c:v>318.86759346773158</c:v>
                </c:pt>
                <c:pt idx="18">
                  <c:v>176.08328834961964</c:v>
                </c:pt>
                <c:pt idx="19">
                  <c:v>188.81414551912184</c:v>
                </c:pt>
                <c:pt idx="20">
                  <c:v>330.54295114120168</c:v>
                </c:pt>
                <c:pt idx="21">
                  <c:v>302.67152217856807</c:v>
                </c:pt>
                <c:pt idx="22">
                  <c:v>366.44375992575453</c:v>
                </c:pt>
                <c:pt idx="23">
                  <c:v>316.6013060781932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666368"/>
        <c:axId val="180516480"/>
      </c:lineChart>
      <c:catAx>
        <c:axId val="180666368"/>
        <c:scaling>
          <c:orientation val="minMax"/>
        </c:scaling>
        <c:delete val="0"/>
        <c:axPos val="b"/>
        <c:majorTickMark val="none"/>
        <c:minorTickMark val="none"/>
        <c:tickLblPos val="nextTo"/>
        <c:crossAx val="180516480"/>
        <c:crosses val="autoZero"/>
        <c:auto val="1"/>
        <c:lblAlgn val="ctr"/>
        <c:lblOffset val="100"/>
        <c:noMultiLvlLbl val="0"/>
      </c:catAx>
      <c:valAx>
        <c:axId val="18051648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80666368"/>
        <c:crosses val="autoZero"/>
        <c:crossBetween val="between"/>
      </c:valAx>
      <c:valAx>
        <c:axId val="180517056"/>
        <c:scaling>
          <c:orientation val="minMax"/>
        </c:scaling>
        <c:delete val="0"/>
        <c:axPos val="r"/>
        <c:numFmt formatCode="#,##0\ &quot;Kč&quot;" sourceLinked="1"/>
        <c:majorTickMark val="out"/>
        <c:minorTickMark val="none"/>
        <c:tickLblPos val="nextTo"/>
        <c:crossAx val="180667392"/>
        <c:crosses val="max"/>
        <c:crossBetween val="between"/>
      </c:valAx>
      <c:catAx>
        <c:axId val="180667392"/>
        <c:scaling>
          <c:orientation val="minMax"/>
        </c:scaling>
        <c:delete val="1"/>
        <c:axPos val="b"/>
        <c:majorTickMark val="out"/>
        <c:minorTickMark val="none"/>
        <c:tickLblPos val="none"/>
        <c:crossAx val="180517056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RTB - Cena za transakci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'direct,ref,mm,rtb'!$A$70</c:f>
              <c:strCache>
                <c:ptCount val="1"/>
                <c:pt idx="0">
                  <c:v>RTB-cena za transakci</c:v>
                </c:pt>
              </c:strCache>
            </c:strRef>
          </c:tx>
          <c:marker>
            <c:symbol val="none"/>
          </c:marker>
          <c:cat>
            <c:strRef>
              <c:f>'direct,ref,mm,rtb'!$B$45:$Y$45</c:f>
              <c:strCache>
                <c:ptCount val="24"/>
                <c:pt idx="0">
                  <c:v>2011-09</c:v>
                </c:pt>
                <c:pt idx="1">
                  <c:v>2011-10</c:v>
                </c:pt>
                <c:pt idx="2">
                  <c:v>2011-11</c:v>
                </c:pt>
                <c:pt idx="3">
                  <c:v>2011-12</c:v>
                </c:pt>
                <c:pt idx="4">
                  <c:v>2012-01</c:v>
                </c:pt>
                <c:pt idx="5">
                  <c:v>2012-02</c:v>
                </c:pt>
                <c:pt idx="6">
                  <c:v>2012-03</c:v>
                </c:pt>
                <c:pt idx="7">
                  <c:v>2012-04</c:v>
                </c:pt>
                <c:pt idx="8">
                  <c:v>2012-06</c:v>
                </c:pt>
                <c:pt idx="9">
                  <c:v>2012-07</c:v>
                </c:pt>
                <c:pt idx="10">
                  <c:v>2012-08</c:v>
                </c:pt>
                <c:pt idx="11">
                  <c:v>2012-09</c:v>
                </c:pt>
                <c:pt idx="12">
                  <c:v>2012-10</c:v>
                </c:pt>
                <c:pt idx="13">
                  <c:v>2012-11</c:v>
                </c:pt>
                <c:pt idx="14">
                  <c:v>2012-12</c:v>
                </c:pt>
                <c:pt idx="15">
                  <c:v>2013-01</c:v>
                </c:pt>
                <c:pt idx="16">
                  <c:v>2013-02</c:v>
                </c:pt>
                <c:pt idx="17">
                  <c:v>2013-03</c:v>
                </c:pt>
                <c:pt idx="18">
                  <c:v>2013-04</c:v>
                </c:pt>
                <c:pt idx="19">
                  <c:v>2013-05</c:v>
                </c:pt>
                <c:pt idx="20">
                  <c:v>2013-06</c:v>
                </c:pt>
                <c:pt idx="21">
                  <c:v>2013-07</c:v>
                </c:pt>
                <c:pt idx="22">
                  <c:v>2013-08</c:v>
                </c:pt>
                <c:pt idx="23">
                  <c:v>2013-09</c:v>
                </c:pt>
              </c:strCache>
            </c:strRef>
          </c:cat>
          <c:val>
            <c:numRef>
              <c:f>'direct,ref,mm,rtb'!$B$70:$Y$70</c:f>
              <c:numCache>
                <c:formatCode>#,##0\ "Kč"</c:formatCode>
                <c:ptCount val="24"/>
                <c:pt idx="0">
                  <c:v>89.592776596261615</c:v>
                </c:pt>
                <c:pt idx="1">
                  <c:v>124.6673355193771</c:v>
                </c:pt>
                <c:pt idx="2">
                  <c:v>234.71530041996544</c:v>
                </c:pt>
                <c:pt idx="3">
                  <c:v>139.75732849018584</c:v>
                </c:pt>
                <c:pt idx="4">
                  <c:v>116.86045810700364</c:v>
                </c:pt>
                <c:pt idx="5">
                  <c:v>168.26437841570359</c:v>
                </c:pt>
                <c:pt idx="6">
                  <c:v>173.05508746156957</c:v>
                </c:pt>
                <c:pt idx="7">
                  <c:v>60.279532395269499</c:v>
                </c:pt>
                <c:pt idx="8">
                  <c:v>127.21834263000402</c:v>
                </c:pt>
                <c:pt idx="9">
                  <c:v>110.92391133421745</c:v>
                </c:pt>
                <c:pt idx="10">
                  <c:v>339.18301543013246</c:v>
                </c:pt>
                <c:pt idx="11">
                  <c:v>137.91001106678672</c:v>
                </c:pt>
                <c:pt idx="12">
                  <c:v>144.1565940753878</c:v>
                </c:pt>
                <c:pt idx="13">
                  <c:v>95.983915883373768</c:v>
                </c:pt>
                <c:pt idx="14">
                  <c:v>34.424519382066499</c:v>
                </c:pt>
                <c:pt idx="15">
                  <c:v>197.24770916547902</c:v>
                </c:pt>
                <c:pt idx="16">
                  <c:v>139.41676830950573</c:v>
                </c:pt>
                <c:pt idx="17">
                  <c:v>112.51055598987917</c:v>
                </c:pt>
                <c:pt idx="18">
                  <c:v>144.5003908235004</c:v>
                </c:pt>
                <c:pt idx="19">
                  <c:v>275.41416632268806</c:v>
                </c:pt>
                <c:pt idx="20">
                  <c:v>89.259101973870258</c:v>
                </c:pt>
                <c:pt idx="21">
                  <c:v>104.1768124764107</c:v>
                </c:pt>
                <c:pt idx="22">
                  <c:v>99.67528693982166</c:v>
                </c:pt>
                <c:pt idx="23">
                  <c:v>109.42768361222524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667904"/>
        <c:axId val="180715520"/>
      </c:lineChart>
      <c:catAx>
        <c:axId val="180667904"/>
        <c:scaling>
          <c:orientation val="minMax"/>
        </c:scaling>
        <c:delete val="0"/>
        <c:axPos val="b"/>
        <c:majorTickMark val="none"/>
        <c:minorTickMark val="none"/>
        <c:tickLblPos val="nextTo"/>
        <c:crossAx val="180715520"/>
        <c:crosses val="autoZero"/>
        <c:auto val="1"/>
        <c:lblAlgn val="ctr"/>
        <c:lblOffset val="100"/>
        <c:noMultiLvlLbl val="0"/>
      </c:catAx>
      <c:valAx>
        <c:axId val="180715520"/>
        <c:scaling>
          <c:orientation val="minMax"/>
        </c:scaling>
        <c:delete val="0"/>
        <c:axPos val="l"/>
        <c:majorGridlines/>
        <c:numFmt formatCode="#,##0\ &quot;Kč&quot;" sourceLinked="1"/>
        <c:majorTickMark val="none"/>
        <c:minorTickMark val="none"/>
        <c:tickLblPos val="nextTo"/>
        <c:spPr>
          <a:ln w="9525">
            <a:noFill/>
          </a:ln>
        </c:spPr>
        <c:crossAx val="18066790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RTB - Podíl nákladů na obratu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'direct,ref,mm,rtb'!$A$71</c:f>
              <c:strCache>
                <c:ptCount val="1"/>
                <c:pt idx="0">
                  <c:v>RTB-podíl nákl.na obratu</c:v>
                </c:pt>
              </c:strCache>
            </c:strRef>
          </c:tx>
          <c:marker>
            <c:symbol val="none"/>
          </c:marker>
          <c:cat>
            <c:strRef>
              <c:f>'direct,ref,mm,rtb'!$B$45:$Y$45</c:f>
              <c:strCache>
                <c:ptCount val="24"/>
                <c:pt idx="0">
                  <c:v>2011-09</c:v>
                </c:pt>
                <c:pt idx="1">
                  <c:v>2011-10</c:v>
                </c:pt>
                <c:pt idx="2">
                  <c:v>2011-11</c:v>
                </c:pt>
                <c:pt idx="3">
                  <c:v>2011-12</c:v>
                </c:pt>
                <c:pt idx="4">
                  <c:v>2012-01</c:v>
                </c:pt>
                <c:pt idx="5">
                  <c:v>2012-02</c:v>
                </c:pt>
                <c:pt idx="6">
                  <c:v>2012-03</c:v>
                </c:pt>
                <c:pt idx="7">
                  <c:v>2012-04</c:v>
                </c:pt>
                <c:pt idx="8">
                  <c:v>2012-06</c:v>
                </c:pt>
                <c:pt idx="9">
                  <c:v>2012-07</c:v>
                </c:pt>
                <c:pt idx="10">
                  <c:v>2012-08</c:v>
                </c:pt>
                <c:pt idx="11">
                  <c:v>2012-09</c:v>
                </c:pt>
                <c:pt idx="12">
                  <c:v>2012-10</c:v>
                </c:pt>
                <c:pt idx="13">
                  <c:v>2012-11</c:v>
                </c:pt>
                <c:pt idx="14">
                  <c:v>2012-12</c:v>
                </c:pt>
                <c:pt idx="15">
                  <c:v>2013-01</c:v>
                </c:pt>
                <c:pt idx="16">
                  <c:v>2013-02</c:v>
                </c:pt>
                <c:pt idx="17">
                  <c:v>2013-03</c:v>
                </c:pt>
                <c:pt idx="18">
                  <c:v>2013-04</c:v>
                </c:pt>
                <c:pt idx="19">
                  <c:v>2013-05</c:v>
                </c:pt>
                <c:pt idx="20">
                  <c:v>2013-06</c:v>
                </c:pt>
                <c:pt idx="21">
                  <c:v>2013-07</c:v>
                </c:pt>
                <c:pt idx="22">
                  <c:v>2013-08</c:v>
                </c:pt>
                <c:pt idx="23">
                  <c:v>2013-09</c:v>
                </c:pt>
              </c:strCache>
            </c:strRef>
          </c:cat>
          <c:val>
            <c:numRef>
              <c:f>'direct,ref,mm,rtb'!$B$71:$Y$71</c:f>
              <c:numCache>
                <c:formatCode>0.00%</c:formatCode>
                <c:ptCount val="24"/>
                <c:pt idx="0">
                  <c:v>7.2230424292889658E-2</c:v>
                </c:pt>
                <c:pt idx="1">
                  <c:v>6.3094446763247922E-2</c:v>
                </c:pt>
                <c:pt idx="2">
                  <c:v>0.16907575600218797</c:v>
                </c:pt>
                <c:pt idx="3">
                  <c:v>8.569629102504954E-2</c:v>
                </c:pt>
                <c:pt idx="4">
                  <c:v>0.11566190336371075</c:v>
                </c:pt>
                <c:pt idx="5">
                  <c:v>7.7478966035216992E-2</c:v>
                </c:pt>
                <c:pt idx="6">
                  <c:v>0.11798685938393559</c:v>
                </c:pt>
                <c:pt idx="7">
                  <c:v>3.0620986144822664E-2</c:v>
                </c:pt>
                <c:pt idx="8">
                  <c:v>0.11314271502627889</c:v>
                </c:pt>
                <c:pt idx="9">
                  <c:v>7.1141897674038584E-2</c:v>
                </c:pt>
                <c:pt idx="10">
                  <c:v>0.36744884163899866</c:v>
                </c:pt>
                <c:pt idx="11">
                  <c:v>9.3862000938452234E-2</c:v>
                </c:pt>
                <c:pt idx="12">
                  <c:v>0.10220901094560542</c:v>
                </c:pt>
                <c:pt idx="13">
                  <c:v>7.0116892834892891E-2</c:v>
                </c:pt>
                <c:pt idx="14">
                  <c:v>2.5394660751155543E-2</c:v>
                </c:pt>
                <c:pt idx="15">
                  <c:v>9.7663547912826901E-2</c:v>
                </c:pt>
                <c:pt idx="16">
                  <c:v>6.0160296061339373E-2</c:v>
                </c:pt>
                <c:pt idx="17">
                  <c:v>0.11870890609534773</c:v>
                </c:pt>
                <c:pt idx="18">
                  <c:v>6.7838309268066541E-2</c:v>
                </c:pt>
                <c:pt idx="19">
                  <c:v>0.17710425862619072</c:v>
                </c:pt>
                <c:pt idx="20">
                  <c:v>6.1830600679811581E-2</c:v>
                </c:pt>
                <c:pt idx="21">
                  <c:v>5.5157295111180331E-2</c:v>
                </c:pt>
                <c:pt idx="22">
                  <c:v>5.5846068280291039E-2</c:v>
                </c:pt>
                <c:pt idx="23">
                  <c:v>0.15238157783615255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669952"/>
        <c:axId val="180717248"/>
      </c:lineChart>
      <c:catAx>
        <c:axId val="180669952"/>
        <c:scaling>
          <c:orientation val="minMax"/>
        </c:scaling>
        <c:delete val="0"/>
        <c:axPos val="b"/>
        <c:majorTickMark val="none"/>
        <c:minorTickMark val="none"/>
        <c:tickLblPos val="nextTo"/>
        <c:crossAx val="180717248"/>
        <c:crosses val="autoZero"/>
        <c:auto val="1"/>
        <c:lblAlgn val="ctr"/>
        <c:lblOffset val="100"/>
        <c:noMultiLvlLbl val="0"/>
      </c:catAx>
      <c:valAx>
        <c:axId val="180717248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spPr>
          <a:ln w="9525">
            <a:noFill/>
          </a:ln>
        </c:spPr>
        <c:crossAx val="18066995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Průměrná cena objednávky podle zdrojů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'direct,ref,mm,rtb'!$A$56</c:f>
              <c:strCache>
                <c:ptCount val="1"/>
                <c:pt idx="0">
                  <c:v>massmail - PCO</c:v>
                </c:pt>
              </c:strCache>
            </c:strRef>
          </c:tx>
          <c:marker>
            <c:symbol val="none"/>
          </c:marker>
          <c:cat>
            <c:strRef>
              <c:f>'direct,ref,mm,rtb'!$B$45:$Y$45</c:f>
              <c:strCache>
                <c:ptCount val="24"/>
                <c:pt idx="0">
                  <c:v>2011-09</c:v>
                </c:pt>
                <c:pt idx="1">
                  <c:v>2011-10</c:v>
                </c:pt>
                <c:pt idx="2">
                  <c:v>2011-11</c:v>
                </c:pt>
                <c:pt idx="3">
                  <c:v>2011-12</c:v>
                </c:pt>
                <c:pt idx="4">
                  <c:v>2012-01</c:v>
                </c:pt>
                <c:pt idx="5">
                  <c:v>2012-02</c:v>
                </c:pt>
                <c:pt idx="6">
                  <c:v>2012-03</c:v>
                </c:pt>
                <c:pt idx="7">
                  <c:v>2012-04</c:v>
                </c:pt>
                <c:pt idx="8">
                  <c:v>2012-06</c:v>
                </c:pt>
                <c:pt idx="9">
                  <c:v>2012-07</c:v>
                </c:pt>
                <c:pt idx="10">
                  <c:v>2012-08</c:v>
                </c:pt>
                <c:pt idx="11">
                  <c:v>2012-09</c:v>
                </c:pt>
                <c:pt idx="12">
                  <c:v>2012-10</c:v>
                </c:pt>
                <c:pt idx="13">
                  <c:v>2012-11</c:v>
                </c:pt>
                <c:pt idx="14">
                  <c:v>2012-12</c:v>
                </c:pt>
                <c:pt idx="15">
                  <c:v>2013-01</c:v>
                </c:pt>
                <c:pt idx="16">
                  <c:v>2013-02</c:v>
                </c:pt>
                <c:pt idx="17">
                  <c:v>2013-03</c:v>
                </c:pt>
                <c:pt idx="18">
                  <c:v>2013-04</c:v>
                </c:pt>
                <c:pt idx="19">
                  <c:v>2013-05</c:v>
                </c:pt>
                <c:pt idx="20">
                  <c:v>2013-06</c:v>
                </c:pt>
                <c:pt idx="21">
                  <c:v>2013-07</c:v>
                </c:pt>
                <c:pt idx="22">
                  <c:v>2013-08</c:v>
                </c:pt>
                <c:pt idx="23">
                  <c:v>2013-09</c:v>
                </c:pt>
              </c:strCache>
            </c:strRef>
          </c:cat>
          <c:val>
            <c:numRef>
              <c:f>'direct,ref,mm,rtb'!$B$56:$Y$56</c:f>
              <c:numCache>
                <c:formatCode>#,##0\ "Kč"</c:formatCode>
                <c:ptCount val="24"/>
                <c:pt idx="0">
                  <c:v>1953.4394484568452</c:v>
                </c:pt>
                <c:pt idx="1">
                  <c:v>1484.3697818914065</c:v>
                </c:pt>
                <c:pt idx="2">
                  <c:v>1131.057849169001</c:v>
                </c:pt>
                <c:pt idx="3">
                  <c:v>815.76165292142696</c:v>
                </c:pt>
                <c:pt idx="4">
                  <c:v>1360.29162216077</c:v>
                </c:pt>
                <c:pt idx="5">
                  <c:v>1219.6760537034265</c:v>
                </c:pt>
                <c:pt idx="6">
                  <c:v>1285.7926043317598</c:v>
                </c:pt>
                <c:pt idx="7">
                  <c:v>1463.5593436331276</c:v>
                </c:pt>
                <c:pt idx="8">
                  <c:v>959.97069779091021</c:v>
                </c:pt>
                <c:pt idx="9">
                  <c:v>512.61187530517338</c:v>
                </c:pt>
                <c:pt idx="10">
                  <c:v>1144.9999558734239</c:v>
                </c:pt>
                <c:pt idx="11">
                  <c:v>1550.9240984570674</c:v>
                </c:pt>
                <c:pt idx="12">
                  <c:v>1003.342685613878</c:v>
                </c:pt>
                <c:pt idx="13">
                  <c:v>882.43155027735634</c:v>
                </c:pt>
                <c:pt idx="14">
                  <c:v>981.26652975572949</c:v>
                </c:pt>
                <c:pt idx="15">
                  <c:v>1062.9992289795105</c:v>
                </c:pt>
                <c:pt idx="16">
                  <c:v>924.69903570535848</c:v>
                </c:pt>
                <c:pt idx="17">
                  <c:v>2059.7416748466749</c:v>
                </c:pt>
                <c:pt idx="18">
                  <c:v>1537.7443836604571</c:v>
                </c:pt>
                <c:pt idx="19">
                  <c:v>1365.4728122079757</c:v>
                </c:pt>
                <c:pt idx="20">
                  <c:v>1490.5786652918976</c:v>
                </c:pt>
                <c:pt idx="21">
                  <c:v>1333.2102478233778</c:v>
                </c:pt>
                <c:pt idx="22">
                  <c:v>944.07053433369595</c:v>
                </c:pt>
                <c:pt idx="23">
                  <c:v>898.0153135512727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'direct,ref,mm,rtb'!$A$72</c:f>
              <c:strCache>
                <c:ptCount val="1"/>
                <c:pt idx="0">
                  <c:v>RTB - PCO</c:v>
                </c:pt>
              </c:strCache>
            </c:strRef>
          </c:tx>
          <c:marker>
            <c:symbol val="none"/>
          </c:marker>
          <c:val>
            <c:numRef>
              <c:f>'direct,ref,mm,rtb'!$B$72:$Y$72</c:f>
              <c:numCache>
                <c:formatCode>#,##0\ "Kč"</c:formatCode>
                <c:ptCount val="24"/>
                <c:pt idx="0">
                  <c:v>1240.3745024806826</c:v>
                </c:pt>
                <c:pt idx="1">
                  <c:v>1975.8844385651223</c:v>
                </c:pt>
                <c:pt idx="2">
                  <c:v>1388.2256449406507</c:v>
                </c:pt>
                <c:pt idx="3">
                  <c:v>1630.8445420273083</c:v>
                </c:pt>
                <c:pt idx="4">
                  <c:v>1010.3625714987925</c:v>
                </c:pt>
                <c:pt idx="5">
                  <c:v>2171.7426938715389</c:v>
                </c:pt>
                <c:pt idx="6">
                  <c:v>1466.7318747627564</c:v>
                </c:pt>
                <c:pt idx="7">
                  <c:v>1968.5692717463785</c:v>
                </c:pt>
                <c:pt idx="8">
                  <c:v>1124.4059557918147</c:v>
                </c:pt>
                <c:pt idx="9">
                  <c:v>1559.1924725209612</c:v>
                </c:pt>
                <c:pt idx="10">
                  <c:v>923.07547879920639</c:v>
                </c:pt>
                <c:pt idx="11">
                  <c:v>1469.284797766222</c:v>
                </c:pt>
                <c:pt idx="12">
                  <c:v>1410.4098331614466</c:v>
                </c:pt>
                <c:pt idx="13">
                  <c:v>1368.9128539878545</c:v>
                </c:pt>
                <c:pt idx="14">
                  <c:v>1355.5809907994171</c:v>
                </c:pt>
                <c:pt idx="15">
                  <c:v>2019.6656109763649</c:v>
                </c:pt>
                <c:pt idx="16">
                  <c:v>2317.4215792980231</c:v>
                </c:pt>
                <c:pt idx="17">
                  <c:v>947.78529843000979</c:v>
                </c:pt>
                <c:pt idx="18">
                  <c:v>2130.0706397693334</c:v>
                </c:pt>
                <c:pt idx="19">
                  <c:v>1555.0962379961595</c:v>
                </c:pt>
                <c:pt idx="20">
                  <c:v>1443.6072267209011</c:v>
                </c:pt>
                <c:pt idx="21">
                  <c:v>1888.7222853553992</c:v>
                </c:pt>
                <c:pt idx="22">
                  <c:v>1784.8219222802234</c:v>
                </c:pt>
                <c:pt idx="23">
                  <c:v>718.11622616145087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921344"/>
        <c:axId val="180719552"/>
      </c:lineChart>
      <c:catAx>
        <c:axId val="180921344"/>
        <c:scaling>
          <c:orientation val="minMax"/>
        </c:scaling>
        <c:delete val="0"/>
        <c:axPos val="b"/>
        <c:majorTickMark val="none"/>
        <c:minorTickMark val="none"/>
        <c:tickLblPos val="nextTo"/>
        <c:crossAx val="180719552"/>
        <c:crosses val="autoZero"/>
        <c:auto val="1"/>
        <c:lblAlgn val="ctr"/>
        <c:lblOffset val="100"/>
        <c:noMultiLvlLbl val="0"/>
      </c:catAx>
      <c:valAx>
        <c:axId val="180719552"/>
        <c:scaling>
          <c:orientation val="minMax"/>
        </c:scaling>
        <c:delete val="0"/>
        <c:axPos val="l"/>
        <c:majorGridlines/>
        <c:numFmt formatCode="#,##0\ &quot;Kč&quot;" sourceLinked="1"/>
        <c:majorTickMark val="none"/>
        <c:minorTickMark val="none"/>
        <c:tickLblPos val="nextTo"/>
        <c:crossAx val="18092134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Návštěvy podle zdrojů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'direct,ref,mm,rtb'!$A$52</c:f>
              <c:strCache>
                <c:ptCount val="1"/>
                <c:pt idx="0">
                  <c:v>massmail - Návštěvy</c:v>
                </c:pt>
              </c:strCache>
            </c:strRef>
          </c:tx>
          <c:marker>
            <c:symbol val="none"/>
          </c:marker>
          <c:cat>
            <c:strRef>
              <c:f>'direct,ref,mm,rtb'!$B$45:$Y$45</c:f>
              <c:strCache>
                <c:ptCount val="24"/>
                <c:pt idx="0">
                  <c:v>2011-09</c:v>
                </c:pt>
                <c:pt idx="1">
                  <c:v>2011-10</c:v>
                </c:pt>
                <c:pt idx="2">
                  <c:v>2011-11</c:v>
                </c:pt>
                <c:pt idx="3">
                  <c:v>2011-12</c:v>
                </c:pt>
                <c:pt idx="4">
                  <c:v>2012-01</c:v>
                </c:pt>
                <c:pt idx="5">
                  <c:v>2012-02</c:v>
                </c:pt>
                <c:pt idx="6">
                  <c:v>2012-03</c:v>
                </c:pt>
                <c:pt idx="7">
                  <c:v>2012-04</c:v>
                </c:pt>
                <c:pt idx="8">
                  <c:v>2012-06</c:v>
                </c:pt>
                <c:pt idx="9">
                  <c:v>2012-07</c:v>
                </c:pt>
                <c:pt idx="10">
                  <c:v>2012-08</c:v>
                </c:pt>
                <c:pt idx="11">
                  <c:v>2012-09</c:v>
                </c:pt>
                <c:pt idx="12">
                  <c:v>2012-10</c:v>
                </c:pt>
                <c:pt idx="13">
                  <c:v>2012-11</c:v>
                </c:pt>
                <c:pt idx="14">
                  <c:v>2012-12</c:v>
                </c:pt>
                <c:pt idx="15">
                  <c:v>2013-01</c:v>
                </c:pt>
                <c:pt idx="16">
                  <c:v>2013-02</c:v>
                </c:pt>
                <c:pt idx="17">
                  <c:v>2013-03</c:v>
                </c:pt>
                <c:pt idx="18">
                  <c:v>2013-04</c:v>
                </c:pt>
                <c:pt idx="19">
                  <c:v>2013-05</c:v>
                </c:pt>
                <c:pt idx="20">
                  <c:v>2013-06</c:v>
                </c:pt>
                <c:pt idx="21">
                  <c:v>2013-07</c:v>
                </c:pt>
                <c:pt idx="22">
                  <c:v>2013-08</c:v>
                </c:pt>
                <c:pt idx="23">
                  <c:v>2013-09</c:v>
                </c:pt>
              </c:strCache>
            </c:strRef>
          </c:cat>
          <c:val>
            <c:numRef>
              <c:f>'direct,ref,mm,rtb'!$B$52:$Y$52</c:f>
              <c:numCache>
                <c:formatCode>#,##0</c:formatCode>
                <c:ptCount val="24"/>
                <c:pt idx="0">
                  <c:v>12327.664006963312</c:v>
                </c:pt>
                <c:pt idx="1">
                  <c:v>7216.2251499658405</c:v>
                </c:pt>
                <c:pt idx="2">
                  <c:v>31600.73266978659</c:v>
                </c:pt>
                <c:pt idx="3">
                  <c:v>17940.773447547534</c:v>
                </c:pt>
                <c:pt idx="4">
                  <c:v>22139.884437094017</c:v>
                </c:pt>
                <c:pt idx="5">
                  <c:v>10645.168677871547</c:v>
                </c:pt>
                <c:pt idx="6">
                  <c:v>4385.4945732518945</c:v>
                </c:pt>
                <c:pt idx="7">
                  <c:v>11361.202161355293</c:v>
                </c:pt>
                <c:pt idx="8">
                  <c:v>33484.187769470234</c:v>
                </c:pt>
                <c:pt idx="9">
                  <c:v>19762.312955148052</c:v>
                </c:pt>
                <c:pt idx="10">
                  <c:v>7074.5301366691647</c:v>
                </c:pt>
                <c:pt idx="11">
                  <c:v>8445.8792165399827</c:v>
                </c:pt>
                <c:pt idx="12">
                  <c:v>9235.1564651480548</c:v>
                </c:pt>
                <c:pt idx="13">
                  <c:v>41000.570072374889</c:v>
                </c:pt>
                <c:pt idx="14">
                  <c:v>30069.363528783462</c:v>
                </c:pt>
                <c:pt idx="15">
                  <c:v>28521.089034146233</c:v>
                </c:pt>
                <c:pt idx="16">
                  <c:v>15032.704874484027</c:v>
                </c:pt>
                <c:pt idx="17">
                  <c:v>5301.5204558602672</c:v>
                </c:pt>
                <c:pt idx="18">
                  <c:v>23525.112917673232</c:v>
                </c:pt>
                <c:pt idx="19">
                  <c:v>8136.3129005756173</c:v>
                </c:pt>
                <c:pt idx="20">
                  <c:v>26073.192034503838</c:v>
                </c:pt>
                <c:pt idx="21">
                  <c:v>36834.952083391552</c:v>
                </c:pt>
                <c:pt idx="22">
                  <c:v>22787.702388508671</c:v>
                </c:pt>
                <c:pt idx="23">
                  <c:v>18793.84640259976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'direct,ref,mm,rtb'!$A$64</c:f>
              <c:strCache>
                <c:ptCount val="1"/>
                <c:pt idx="0">
                  <c:v>RTB - Návštěvy</c:v>
                </c:pt>
              </c:strCache>
            </c:strRef>
          </c:tx>
          <c:marker>
            <c:symbol val="none"/>
          </c:marker>
          <c:val>
            <c:numRef>
              <c:f>'direct,ref,mm,rtb'!$B$64:$Y$64</c:f>
              <c:numCache>
                <c:formatCode>#,##0</c:formatCode>
                <c:ptCount val="24"/>
                <c:pt idx="0">
                  <c:v>11660.345944978473</c:v>
                </c:pt>
                <c:pt idx="1">
                  <c:v>21241.740367173828</c:v>
                </c:pt>
                <c:pt idx="2">
                  <c:v>11151.279247608029</c:v>
                </c:pt>
                <c:pt idx="3">
                  <c:v>9714.8265233587663</c:v>
                </c:pt>
                <c:pt idx="4">
                  <c:v>8817.3367877251512</c:v>
                </c:pt>
                <c:pt idx="5">
                  <c:v>18385.758761481724</c:v>
                </c:pt>
                <c:pt idx="6">
                  <c:v>17779.443399479416</c:v>
                </c:pt>
                <c:pt idx="7">
                  <c:v>17550.932537200064</c:v>
                </c:pt>
                <c:pt idx="8">
                  <c:v>12367.077589883764</c:v>
                </c:pt>
                <c:pt idx="9">
                  <c:v>18982.369532504308</c:v>
                </c:pt>
                <c:pt idx="10">
                  <c:v>13084.494374282791</c:v>
                </c:pt>
                <c:pt idx="11">
                  <c:v>9220.6292744570783</c:v>
                </c:pt>
                <c:pt idx="12">
                  <c:v>13580.955761019857</c:v>
                </c:pt>
                <c:pt idx="13">
                  <c:v>16740.360032278335</c:v>
                </c:pt>
                <c:pt idx="14">
                  <c:v>12656.79872074422</c:v>
                </c:pt>
                <c:pt idx="15">
                  <c:v>20303.036821128677</c:v>
                </c:pt>
                <c:pt idx="16">
                  <c:v>19229.892227849756</c:v>
                </c:pt>
                <c:pt idx="17">
                  <c:v>22417.666503278793</c:v>
                </c:pt>
                <c:pt idx="18">
                  <c:v>11605.759744497238</c:v>
                </c:pt>
                <c:pt idx="19">
                  <c:v>22862.335397838604</c:v>
                </c:pt>
                <c:pt idx="20">
                  <c:v>15854.024951510217</c:v>
                </c:pt>
                <c:pt idx="21">
                  <c:v>14546.294342196647</c:v>
                </c:pt>
                <c:pt idx="22">
                  <c:v>17891.344667143752</c:v>
                </c:pt>
                <c:pt idx="23">
                  <c:v>12804.918989483891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920320"/>
        <c:axId val="180722432"/>
      </c:lineChart>
      <c:catAx>
        <c:axId val="180920320"/>
        <c:scaling>
          <c:orientation val="minMax"/>
        </c:scaling>
        <c:delete val="0"/>
        <c:axPos val="b"/>
        <c:majorTickMark val="none"/>
        <c:minorTickMark val="none"/>
        <c:tickLblPos val="nextTo"/>
        <c:crossAx val="180722432"/>
        <c:crosses val="autoZero"/>
        <c:auto val="1"/>
        <c:lblAlgn val="ctr"/>
        <c:lblOffset val="100"/>
        <c:noMultiLvlLbl val="0"/>
      </c:catAx>
      <c:valAx>
        <c:axId val="1807224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8092032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Obrat podle zdrojů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'direct,ref,mm,rtb'!$A$54</c:f>
              <c:strCache>
                <c:ptCount val="1"/>
                <c:pt idx="0">
                  <c:v>massmail - Obrat</c:v>
                </c:pt>
              </c:strCache>
            </c:strRef>
          </c:tx>
          <c:marker>
            <c:symbol val="none"/>
          </c:marker>
          <c:cat>
            <c:strRef>
              <c:f>'direct,ref,mm,rtb'!$B$45:$Y$45</c:f>
              <c:strCache>
                <c:ptCount val="24"/>
                <c:pt idx="0">
                  <c:v>2011-09</c:v>
                </c:pt>
                <c:pt idx="1">
                  <c:v>2011-10</c:v>
                </c:pt>
                <c:pt idx="2">
                  <c:v>2011-11</c:v>
                </c:pt>
                <c:pt idx="3">
                  <c:v>2011-12</c:v>
                </c:pt>
                <c:pt idx="4">
                  <c:v>2012-01</c:v>
                </c:pt>
                <c:pt idx="5">
                  <c:v>2012-02</c:v>
                </c:pt>
                <c:pt idx="6">
                  <c:v>2012-03</c:v>
                </c:pt>
                <c:pt idx="7">
                  <c:v>2012-04</c:v>
                </c:pt>
                <c:pt idx="8">
                  <c:v>2012-06</c:v>
                </c:pt>
                <c:pt idx="9">
                  <c:v>2012-07</c:v>
                </c:pt>
                <c:pt idx="10">
                  <c:v>2012-08</c:v>
                </c:pt>
                <c:pt idx="11">
                  <c:v>2012-09</c:v>
                </c:pt>
                <c:pt idx="12">
                  <c:v>2012-10</c:v>
                </c:pt>
                <c:pt idx="13">
                  <c:v>2012-11</c:v>
                </c:pt>
                <c:pt idx="14">
                  <c:v>2012-12</c:v>
                </c:pt>
                <c:pt idx="15">
                  <c:v>2013-01</c:v>
                </c:pt>
                <c:pt idx="16">
                  <c:v>2013-02</c:v>
                </c:pt>
                <c:pt idx="17">
                  <c:v>2013-03</c:v>
                </c:pt>
                <c:pt idx="18">
                  <c:v>2013-04</c:v>
                </c:pt>
                <c:pt idx="19">
                  <c:v>2013-05</c:v>
                </c:pt>
                <c:pt idx="20">
                  <c:v>2013-06</c:v>
                </c:pt>
                <c:pt idx="21">
                  <c:v>2013-07</c:v>
                </c:pt>
                <c:pt idx="22">
                  <c:v>2013-08</c:v>
                </c:pt>
                <c:pt idx="23">
                  <c:v>2013-09</c:v>
                </c:pt>
              </c:strCache>
            </c:strRef>
          </c:cat>
          <c:val>
            <c:numRef>
              <c:f>'direct,ref,mm,rtb'!$B$54:$Y$54</c:f>
              <c:numCache>
                <c:formatCode>#,##0\ "Kč"</c:formatCode>
                <c:ptCount val="24"/>
                <c:pt idx="0">
                  <c:v>449472.62441773701</c:v>
                </c:pt>
                <c:pt idx="1">
                  <c:v>382138.05262530589</c:v>
                </c:pt>
                <c:pt idx="2">
                  <c:v>175194.82356502919</c:v>
                </c:pt>
                <c:pt idx="3">
                  <c:v>390347.08526002226</c:v>
                </c:pt>
                <c:pt idx="4">
                  <c:v>575842.45165432745</c:v>
                </c:pt>
                <c:pt idx="5">
                  <c:v>265897.35466991307</c:v>
                </c:pt>
                <c:pt idx="6">
                  <c:v>185853.99764931103</c:v>
                </c:pt>
                <c:pt idx="7">
                  <c:v>180721.39294793282</c:v>
                </c:pt>
                <c:pt idx="8">
                  <c:v>367290.4175423698</c:v>
                </c:pt>
                <c:pt idx="9">
                  <c:v>388850.52349849482</c:v>
                </c:pt>
                <c:pt idx="10">
                  <c:v>281980.57295975502</c:v>
                </c:pt>
                <c:pt idx="11">
                  <c:v>367864.44682965404</c:v>
                </c:pt>
                <c:pt idx="12">
                  <c:v>269138.74315253517</c:v>
                </c:pt>
                <c:pt idx="13">
                  <c:v>537438.38694456907</c:v>
                </c:pt>
                <c:pt idx="14">
                  <c:v>690214.37368807895</c:v>
                </c:pt>
                <c:pt idx="15">
                  <c:v>497745.89646154025</c:v>
                </c:pt>
                <c:pt idx="16">
                  <c:v>222622.5511099865</c:v>
                </c:pt>
                <c:pt idx="17">
                  <c:v>253688.0040298118</c:v>
                </c:pt>
                <c:pt idx="18">
                  <c:v>695506.49123334186</c:v>
                </c:pt>
                <c:pt idx="19">
                  <c:v>221054.01880804036</c:v>
                </c:pt>
                <c:pt idx="20">
                  <c:v>364691.42106532655</c:v>
                </c:pt>
                <c:pt idx="21">
                  <c:v>966865.89220894605</c:v>
                </c:pt>
                <c:pt idx="22">
                  <c:v>316456.84693050833</c:v>
                </c:pt>
                <c:pt idx="23">
                  <c:v>210963.02599513953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'direct,ref,mm,rtb'!$A$66</c:f>
              <c:strCache>
                <c:ptCount val="1"/>
                <c:pt idx="0">
                  <c:v>RTB - Obrat</c:v>
                </c:pt>
              </c:strCache>
            </c:strRef>
          </c:tx>
          <c:marker>
            <c:symbol val="none"/>
          </c:marker>
          <c:val>
            <c:numRef>
              <c:f>'direct,ref,mm,rtb'!$B$66:$Y$66</c:f>
              <c:numCache>
                <c:formatCode>#,##0\ "Kč"</c:formatCode>
                <c:ptCount val="24"/>
                <c:pt idx="0">
                  <c:v>400328.07759205275</c:v>
                </c:pt>
                <c:pt idx="1">
                  <c:v>444584.8048343244</c:v>
                </c:pt>
                <c:pt idx="2">
                  <c:v>155190.67488816517</c:v>
                </c:pt>
                <c:pt idx="3">
                  <c:v>310663.68774776766</c:v>
                </c:pt>
                <c:pt idx="4">
                  <c:v>258680.22464849579</c:v>
                </c:pt>
                <c:pt idx="5">
                  <c:v>529440.13455734018</c:v>
                </c:pt>
                <c:pt idx="6">
                  <c:v>354397.15116591152</c:v>
                </c:pt>
                <c:pt idx="7">
                  <c:v>600621.14854672004</c:v>
                </c:pt>
                <c:pt idx="8">
                  <c:v>245305.15492270674</c:v>
                </c:pt>
                <c:pt idx="9">
                  <c:v>310086.00037312484</c:v>
                </c:pt>
                <c:pt idx="10">
                  <c:v>147353.773185592</c:v>
                </c:pt>
                <c:pt idx="11">
                  <c:v>313526.25675899972</c:v>
                </c:pt>
                <c:pt idx="12">
                  <c:v>236128.28554351639</c:v>
                </c:pt>
                <c:pt idx="13">
                  <c:v>440137.45093987969</c:v>
                </c:pt>
                <c:pt idx="14">
                  <c:v>407849.32575051568</c:v>
                </c:pt>
                <c:pt idx="15">
                  <c:v>643484.08363336429</c:v>
                </c:pt>
                <c:pt idx="16">
                  <c:v>456204.15915947518</c:v>
                </c:pt>
                <c:pt idx="17">
                  <c:v>302218.01723447302</c:v>
                </c:pt>
                <c:pt idx="18">
                  <c:v>375069.8426675623</c:v>
                </c:pt>
                <c:pt idx="19">
                  <c:v>293624.16737724579</c:v>
                </c:pt>
                <c:pt idx="20">
                  <c:v>477174.19300909247</c:v>
                </c:pt>
                <c:pt idx="21">
                  <c:v>571662.4490811025</c:v>
                </c:pt>
                <c:pt idx="22">
                  <c:v>654036.8559982779</c:v>
                </c:pt>
                <c:pt idx="23">
                  <c:v>227356.5351186585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921856"/>
        <c:axId val="181167232"/>
      </c:lineChart>
      <c:catAx>
        <c:axId val="180921856"/>
        <c:scaling>
          <c:orientation val="minMax"/>
        </c:scaling>
        <c:delete val="0"/>
        <c:axPos val="b"/>
        <c:majorTickMark val="none"/>
        <c:minorTickMark val="none"/>
        <c:tickLblPos val="nextTo"/>
        <c:crossAx val="181167232"/>
        <c:crosses val="autoZero"/>
        <c:auto val="1"/>
        <c:lblAlgn val="ctr"/>
        <c:lblOffset val="100"/>
        <c:noMultiLvlLbl val="0"/>
      </c:catAx>
      <c:valAx>
        <c:axId val="181167232"/>
        <c:scaling>
          <c:orientation val="minMax"/>
        </c:scaling>
        <c:delete val="0"/>
        <c:axPos val="l"/>
        <c:majorGridlines/>
        <c:numFmt formatCode="#,##0\ &quot;Kč&quot;" sourceLinked="1"/>
        <c:majorTickMark val="none"/>
        <c:minorTickMark val="none"/>
        <c:tickLblPos val="nextTo"/>
        <c:crossAx val="18092185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Konverzní poměr podle zdrojů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'direct,ref,mm,rtb'!$A$55</c:f>
              <c:strCache>
                <c:ptCount val="1"/>
                <c:pt idx="0">
                  <c:v>massmail - KP</c:v>
                </c:pt>
              </c:strCache>
            </c:strRef>
          </c:tx>
          <c:marker>
            <c:symbol val="none"/>
          </c:marker>
          <c:cat>
            <c:strRef>
              <c:f>'direct,ref,mm,rtb'!$B$45:$Y$45</c:f>
              <c:strCache>
                <c:ptCount val="24"/>
                <c:pt idx="0">
                  <c:v>2011-09</c:v>
                </c:pt>
                <c:pt idx="1">
                  <c:v>2011-10</c:v>
                </c:pt>
                <c:pt idx="2">
                  <c:v>2011-11</c:v>
                </c:pt>
                <c:pt idx="3">
                  <c:v>2011-12</c:v>
                </c:pt>
                <c:pt idx="4">
                  <c:v>2012-01</c:v>
                </c:pt>
                <c:pt idx="5">
                  <c:v>2012-02</c:v>
                </c:pt>
                <c:pt idx="6">
                  <c:v>2012-03</c:v>
                </c:pt>
                <c:pt idx="7">
                  <c:v>2012-04</c:v>
                </c:pt>
                <c:pt idx="8">
                  <c:v>2012-06</c:v>
                </c:pt>
                <c:pt idx="9">
                  <c:v>2012-07</c:v>
                </c:pt>
                <c:pt idx="10">
                  <c:v>2012-08</c:v>
                </c:pt>
                <c:pt idx="11">
                  <c:v>2012-09</c:v>
                </c:pt>
                <c:pt idx="12">
                  <c:v>2012-10</c:v>
                </c:pt>
                <c:pt idx="13">
                  <c:v>2012-11</c:v>
                </c:pt>
                <c:pt idx="14">
                  <c:v>2012-12</c:v>
                </c:pt>
                <c:pt idx="15">
                  <c:v>2013-01</c:v>
                </c:pt>
                <c:pt idx="16">
                  <c:v>2013-02</c:v>
                </c:pt>
                <c:pt idx="17">
                  <c:v>2013-03</c:v>
                </c:pt>
                <c:pt idx="18">
                  <c:v>2013-04</c:v>
                </c:pt>
                <c:pt idx="19">
                  <c:v>2013-05</c:v>
                </c:pt>
                <c:pt idx="20">
                  <c:v>2013-06</c:v>
                </c:pt>
                <c:pt idx="21">
                  <c:v>2013-07</c:v>
                </c:pt>
                <c:pt idx="22">
                  <c:v>2013-08</c:v>
                </c:pt>
                <c:pt idx="23">
                  <c:v>2013-09</c:v>
                </c:pt>
              </c:strCache>
            </c:strRef>
          </c:cat>
          <c:val>
            <c:numRef>
              <c:f>'direct,ref,mm,rtb'!$B$55:$Y$55</c:f>
              <c:numCache>
                <c:formatCode>0.00%</c:formatCode>
                <c:ptCount val="24"/>
                <c:pt idx="0">
                  <c:v>1.8664763994105563E-2</c:v>
                </c:pt>
                <c:pt idx="1">
                  <c:v>3.5675338829228818E-2</c:v>
                </c:pt>
                <c:pt idx="2">
                  <c:v>4.9016161712946921E-3</c:v>
                </c:pt>
                <c:pt idx="3">
                  <c:v>2.6671441747881681E-2</c:v>
                </c:pt>
                <c:pt idx="4">
                  <c:v>1.9120370583244155E-2</c:v>
                </c:pt>
                <c:pt idx="5">
                  <c:v>2.0479387897716448E-2</c:v>
                </c:pt>
                <c:pt idx="6">
                  <c:v>3.2959635915006266E-2</c:v>
                </c:pt>
                <c:pt idx="7">
                  <c:v>1.0868633417806115E-2</c:v>
                </c:pt>
                <c:pt idx="8">
                  <c:v>1.142646391497747E-2</c:v>
                </c:pt>
                <c:pt idx="9">
                  <c:v>3.8384532235249735E-2</c:v>
                </c:pt>
                <c:pt idx="10">
                  <c:v>3.4810969420293436E-2</c:v>
                </c:pt>
                <c:pt idx="11">
                  <c:v>2.8083575894877377E-2</c:v>
                </c:pt>
                <c:pt idx="12">
                  <c:v>2.9045755226307205E-2</c:v>
                </c:pt>
                <c:pt idx="13">
                  <c:v>1.4854490502627191E-2</c:v>
                </c:pt>
                <c:pt idx="14">
                  <c:v>2.3392292079821457E-2</c:v>
                </c:pt>
                <c:pt idx="15">
                  <c:v>1.6417560841266776E-2</c:v>
                </c:pt>
                <c:pt idx="16">
                  <c:v>1.6015172434915483E-2</c:v>
                </c:pt>
                <c:pt idx="17">
                  <c:v>2.3232007213761702E-2</c:v>
                </c:pt>
                <c:pt idx="18">
                  <c:v>1.922583990028694E-2</c:v>
                </c:pt>
                <c:pt idx="19">
                  <c:v>1.9897005293370136E-2</c:v>
                </c:pt>
                <c:pt idx="20">
                  <c:v>9.383750304767003E-3</c:v>
                </c:pt>
                <c:pt idx="21">
                  <c:v>1.9688266873121845E-2</c:v>
                </c:pt>
                <c:pt idx="22">
                  <c:v>1.4709893038010622E-2</c:v>
                </c:pt>
                <c:pt idx="23">
                  <c:v>1.2499911277696717E-2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'direct,ref,mm,rtb'!$A$67</c:f>
              <c:strCache>
                <c:ptCount val="1"/>
                <c:pt idx="0">
                  <c:v>RTB - KP</c:v>
                </c:pt>
              </c:strCache>
            </c:strRef>
          </c:tx>
          <c:marker>
            <c:symbol val="none"/>
          </c:marker>
          <c:val>
            <c:numRef>
              <c:f>'direct,ref,mm,rtb'!$B$67:$Y$67</c:f>
              <c:numCache>
                <c:formatCode>0.00%</c:formatCode>
                <c:ptCount val="24"/>
                <c:pt idx="0">
                  <c:v>2.7679088572180273E-2</c:v>
                </c:pt>
                <c:pt idx="1">
                  <c:v>1.0592609886644656E-2</c:v>
                </c:pt>
                <c:pt idx="2">
                  <c:v>1.002491888747954E-2</c:v>
                </c:pt>
                <c:pt idx="3">
                  <c:v>1.9608432562655168E-2</c:v>
                </c:pt>
                <c:pt idx="4">
                  <c:v>2.9036786438032852E-2</c:v>
                </c:pt>
                <c:pt idx="5">
                  <c:v>1.3259493464372918E-2</c:v>
                </c:pt>
                <c:pt idx="6">
                  <c:v>1.3590058654590793E-2</c:v>
                </c:pt>
                <c:pt idx="7">
                  <c:v>1.738400032886394E-2</c:v>
                </c:pt>
                <c:pt idx="8">
                  <c:v>1.7640725894749985E-2</c:v>
                </c:pt>
                <c:pt idx="9">
                  <c:v>1.04768808848905E-2</c:v>
                </c:pt>
                <c:pt idx="10">
                  <c:v>1.220020426361949E-2</c:v>
                </c:pt>
                <c:pt idx="11">
                  <c:v>2.3142345401556744E-2</c:v>
                </c:pt>
                <c:pt idx="12">
                  <c:v>1.2327424523398517E-2</c:v>
                </c:pt>
                <c:pt idx="13">
                  <c:v>1.9206477787669398E-2</c:v>
                </c:pt>
                <c:pt idx="14">
                  <c:v>2.3771161625057758E-2</c:v>
                </c:pt>
                <c:pt idx="15">
                  <c:v>1.5692687854687918E-2</c:v>
                </c:pt>
                <c:pt idx="16">
                  <c:v>1.0237109375071961E-2</c:v>
                </c:pt>
                <c:pt idx="17">
                  <c:v>1.4223942238639969E-2</c:v>
                </c:pt>
                <c:pt idx="18">
                  <c:v>1.5172060444651879E-2</c:v>
                </c:pt>
                <c:pt idx="19">
                  <c:v>8.2587426976936159E-3</c:v>
                </c:pt>
                <c:pt idx="20">
                  <c:v>2.0849150430390546E-2</c:v>
                </c:pt>
                <c:pt idx="21">
                  <c:v>2.0807465809389185E-2</c:v>
                </c:pt>
                <c:pt idx="22">
                  <c:v>2.048162207722172E-2</c:v>
                </c:pt>
                <c:pt idx="23">
                  <c:v>2.4724975326919581E-2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922880"/>
        <c:axId val="181168960"/>
      </c:lineChart>
      <c:catAx>
        <c:axId val="180922880"/>
        <c:scaling>
          <c:orientation val="minMax"/>
        </c:scaling>
        <c:delete val="0"/>
        <c:axPos val="b"/>
        <c:majorTickMark val="none"/>
        <c:minorTickMark val="none"/>
        <c:tickLblPos val="nextTo"/>
        <c:crossAx val="181168960"/>
        <c:crosses val="autoZero"/>
        <c:auto val="1"/>
        <c:lblAlgn val="ctr"/>
        <c:lblOffset val="100"/>
        <c:noMultiLvlLbl val="0"/>
      </c:catAx>
      <c:valAx>
        <c:axId val="181168960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809228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Návštěvy a konverzní poměr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komplet!$A$41</c:f>
              <c:strCache>
                <c:ptCount val="1"/>
                <c:pt idx="0">
                  <c:v>Návštěvy</c:v>
                </c:pt>
              </c:strCache>
            </c:strRef>
          </c:tx>
          <c:spPr>
            <a:solidFill>
              <a:srgbClr val="C0504D">
                <a:lumMod val="60000"/>
                <a:lumOff val="40000"/>
              </a:srgbClr>
            </a:solidFill>
          </c:spPr>
          <c:invertIfNegative val="0"/>
          <c:dPt>
            <c:idx val="12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24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cat>
            <c:strRef>
              <c:f>komplet!$B$40:$Z$40</c:f>
              <c:strCache>
                <c:ptCount val="25"/>
                <c:pt idx="0">
                  <c:v>2011-09</c:v>
                </c:pt>
                <c:pt idx="1">
                  <c:v>2011-10</c:v>
                </c:pt>
                <c:pt idx="2">
                  <c:v>2011-11</c:v>
                </c:pt>
                <c:pt idx="3">
                  <c:v>2011-12</c:v>
                </c:pt>
                <c:pt idx="4">
                  <c:v>2012-01</c:v>
                </c:pt>
                <c:pt idx="5">
                  <c:v>2012-02</c:v>
                </c:pt>
                <c:pt idx="6">
                  <c:v>2012-03</c:v>
                </c:pt>
                <c:pt idx="7">
                  <c:v>2012-04</c:v>
                </c:pt>
                <c:pt idx="8">
                  <c:v>2012-05</c:v>
                </c:pt>
                <c:pt idx="9">
                  <c:v>2012-06</c:v>
                </c:pt>
                <c:pt idx="10">
                  <c:v>2012-07</c:v>
                </c:pt>
                <c:pt idx="11">
                  <c:v>2012-08</c:v>
                </c:pt>
                <c:pt idx="12">
                  <c:v>2012-09</c:v>
                </c:pt>
                <c:pt idx="13">
                  <c:v>2012-10</c:v>
                </c:pt>
                <c:pt idx="14">
                  <c:v>2012-11</c:v>
                </c:pt>
                <c:pt idx="15">
                  <c:v>2012-12</c:v>
                </c:pt>
                <c:pt idx="16">
                  <c:v>2013-01</c:v>
                </c:pt>
                <c:pt idx="17">
                  <c:v>2013-02</c:v>
                </c:pt>
                <c:pt idx="18">
                  <c:v>2013-03</c:v>
                </c:pt>
                <c:pt idx="19">
                  <c:v>2013-04</c:v>
                </c:pt>
                <c:pt idx="20">
                  <c:v>2013-05</c:v>
                </c:pt>
                <c:pt idx="21">
                  <c:v>2013-06</c:v>
                </c:pt>
                <c:pt idx="22">
                  <c:v>2013-07</c:v>
                </c:pt>
                <c:pt idx="23">
                  <c:v>2013-08</c:v>
                </c:pt>
                <c:pt idx="24">
                  <c:v>2013-09</c:v>
                </c:pt>
              </c:strCache>
            </c:strRef>
          </c:cat>
          <c:val>
            <c:numRef>
              <c:f>komplet!$B$41:$Z$41</c:f>
              <c:numCache>
                <c:formatCode>#,##0</c:formatCode>
                <c:ptCount val="25"/>
                <c:pt idx="0">
                  <c:v>259182.99575822023</c:v>
                </c:pt>
                <c:pt idx="1">
                  <c:v>312937.82923610043</c:v>
                </c:pt>
                <c:pt idx="2">
                  <c:v>282799.20436451142</c:v>
                </c:pt>
                <c:pt idx="3">
                  <c:v>359408.82739005343</c:v>
                </c:pt>
                <c:pt idx="4">
                  <c:v>294964.13362251525</c:v>
                </c:pt>
                <c:pt idx="5">
                  <c:v>340700.16779380722</c:v>
                </c:pt>
                <c:pt idx="6">
                  <c:v>293408.45393242186</c:v>
                </c:pt>
                <c:pt idx="7">
                  <c:v>247288.25782432366</c:v>
                </c:pt>
                <c:pt idx="8">
                  <c:v>262486.25861623732</c:v>
                </c:pt>
                <c:pt idx="9">
                  <c:v>258127.52860899371</c:v>
                </c:pt>
                <c:pt idx="10">
                  <c:v>228412.62486512095</c:v>
                </c:pt>
                <c:pt idx="11">
                  <c:v>211783.96122869905</c:v>
                </c:pt>
                <c:pt idx="12">
                  <c:v>219079.55931454146</c:v>
                </c:pt>
                <c:pt idx="13">
                  <c:v>275706.10255108646</c:v>
                </c:pt>
                <c:pt idx="14">
                  <c:v>329350.95249983104</c:v>
                </c:pt>
                <c:pt idx="15">
                  <c:v>309457.89869520633</c:v>
                </c:pt>
                <c:pt idx="16">
                  <c:v>302334.57145454793</c:v>
                </c:pt>
                <c:pt idx="17">
                  <c:v>202099.70883003296</c:v>
                </c:pt>
                <c:pt idx="18">
                  <c:v>224330.26516402839</c:v>
                </c:pt>
                <c:pt idx="19">
                  <c:v>253551.3786209414</c:v>
                </c:pt>
                <c:pt idx="20">
                  <c:v>272171.6258886978</c:v>
                </c:pt>
                <c:pt idx="21">
                  <c:v>253388.1492576765</c:v>
                </c:pt>
                <c:pt idx="22">
                  <c:v>300977.29365931422</c:v>
                </c:pt>
                <c:pt idx="23">
                  <c:v>273927.20323677547</c:v>
                </c:pt>
                <c:pt idx="24">
                  <c:v>236874.19029893522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65116672"/>
        <c:axId val="64215808"/>
      </c:barChart>
      <c:lineChart>
        <c:grouping val="standard"/>
        <c:varyColors val="0"/>
        <c:ser>
          <c:idx val="0"/>
          <c:order val="0"/>
          <c:tx>
            <c:strRef>
              <c:f>komplet!$A$44</c:f>
              <c:strCache>
                <c:ptCount val="1"/>
                <c:pt idx="0">
                  <c:v>KP</c:v>
                </c:pt>
              </c:strCache>
            </c:strRef>
          </c:tx>
          <c:dPt>
            <c:idx val="12"/>
            <c:marker>
              <c:symbol val="diamond"/>
              <c:size val="10"/>
            </c:marker>
            <c:bubble3D val="0"/>
          </c:dPt>
          <c:cat>
            <c:strRef>
              <c:f>komplet!$B$40:$Z$40</c:f>
              <c:strCache>
                <c:ptCount val="25"/>
                <c:pt idx="0">
                  <c:v>2011-09</c:v>
                </c:pt>
                <c:pt idx="1">
                  <c:v>2011-10</c:v>
                </c:pt>
                <c:pt idx="2">
                  <c:v>2011-11</c:v>
                </c:pt>
                <c:pt idx="3">
                  <c:v>2011-12</c:v>
                </c:pt>
                <c:pt idx="4">
                  <c:v>2012-01</c:v>
                </c:pt>
                <c:pt idx="5">
                  <c:v>2012-02</c:v>
                </c:pt>
                <c:pt idx="6">
                  <c:v>2012-03</c:v>
                </c:pt>
                <c:pt idx="7">
                  <c:v>2012-04</c:v>
                </c:pt>
                <c:pt idx="8">
                  <c:v>2012-05</c:v>
                </c:pt>
                <c:pt idx="9">
                  <c:v>2012-06</c:v>
                </c:pt>
                <c:pt idx="10">
                  <c:v>2012-07</c:v>
                </c:pt>
                <c:pt idx="11">
                  <c:v>2012-08</c:v>
                </c:pt>
                <c:pt idx="12">
                  <c:v>2012-09</c:v>
                </c:pt>
                <c:pt idx="13">
                  <c:v>2012-10</c:v>
                </c:pt>
                <c:pt idx="14">
                  <c:v>2012-11</c:v>
                </c:pt>
                <c:pt idx="15">
                  <c:v>2012-12</c:v>
                </c:pt>
                <c:pt idx="16">
                  <c:v>2013-01</c:v>
                </c:pt>
                <c:pt idx="17">
                  <c:v>2013-02</c:v>
                </c:pt>
                <c:pt idx="18">
                  <c:v>2013-03</c:v>
                </c:pt>
                <c:pt idx="19">
                  <c:v>2013-04</c:v>
                </c:pt>
                <c:pt idx="20">
                  <c:v>2013-05</c:v>
                </c:pt>
                <c:pt idx="21">
                  <c:v>2013-06</c:v>
                </c:pt>
                <c:pt idx="22">
                  <c:v>2013-07</c:v>
                </c:pt>
                <c:pt idx="23">
                  <c:v>2013-08</c:v>
                </c:pt>
                <c:pt idx="24">
                  <c:v>2013-09</c:v>
                </c:pt>
              </c:strCache>
            </c:strRef>
          </c:cat>
          <c:val>
            <c:numRef>
              <c:f>komplet!$B$44:$Z$44</c:f>
              <c:numCache>
                <c:formatCode>0.00%</c:formatCode>
                <c:ptCount val="25"/>
                <c:pt idx="0">
                  <c:v>1.6191429591434076E-2</c:v>
                </c:pt>
                <c:pt idx="1">
                  <c:v>1.8790729553790856E-2</c:v>
                </c:pt>
                <c:pt idx="2">
                  <c:v>2.1834148163540061E-2</c:v>
                </c:pt>
                <c:pt idx="3">
                  <c:v>2.247035804552636E-2</c:v>
                </c:pt>
                <c:pt idx="4">
                  <c:v>1.9458705994191732E-2</c:v>
                </c:pt>
                <c:pt idx="5">
                  <c:v>1.3690274904863972E-2</c:v>
                </c:pt>
                <c:pt idx="6">
                  <c:v>1.3971057488871423E-2</c:v>
                </c:pt>
                <c:pt idx="7">
                  <c:v>1.4463878101781466E-2</c:v>
                </c:pt>
                <c:pt idx="8">
                  <c:v>1.8267725220288671E-2</c:v>
                </c:pt>
                <c:pt idx="9">
                  <c:v>1.7534110722433605E-2</c:v>
                </c:pt>
                <c:pt idx="10">
                  <c:v>1.890028613642776E-2</c:v>
                </c:pt>
                <c:pt idx="11">
                  <c:v>2.0641617540453617E-2</c:v>
                </c:pt>
                <c:pt idx="12">
                  <c:v>1.5325408935343622E-2</c:v>
                </c:pt>
                <c:pt idx="13">
                  <c:v>2.0360482435834253E-2</c:v>
                </c:pt>
                <c:pt idx="14">
                  <c:v>1.7617311819789629E-2</c:v>
                </c:pt>
                <c:pt idx="15">
                  <c:v>2.0998192083946425E-2</c:v>
                </c:pt>
                <c:pt idx="16">
                  <c:v>1.5371348017469609E-2</c:v>
                </c:pt>
                <c:pt idx="17">
                  <c:v>1.826736577040447E-2</c:v>
                </c:pt>
                <c:pt idx="18">
                  <c:v>1.8349131572399292E-2</c:v>
                </c:pt>
                <c:pt idx="19">
                  <c:v>1.8288809781126115E-2</c:v>
                </c:pt>
                <c:pt idx="20">
                  <c:v>1.5208247202431168E-2</c:v>
                </c:pt>
                <c:pt idx="21">
                  <c:v>1.6935592556358011E-2</c:v>
                </c:pt>
                <c:pt idx="22">
                  <c:v>1.9853997458421511E-2</c:v>
                </c:pt>
                <c:pt idx="23">
                  <c:v>1.4651188915492086E-2</c:v>
                </c:pt>
                <c:pt idx="24">
                  <c:v>1.7014779769229254E-2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15648"/>
        <c:axId val="64215232"/>
      </c:lineChart>
      <c:catAx>
        <c:axId val="65115648"/>
        <c:scaling>
          <c:orientation val="minMax"/>
        </c:scaling>
        <c:delete val="0"/>
        <c:axPos val="b"/>
        <c:majorTickMark val="none"/>
        <c:minorTickMark val="none"/>
        <c:tickLblPos val="nextTo"/>
        <c:crossAx val="64215232"/>
        <c:crosses val="autoZero"/>
        <c:auto val="1"/>
        <c:lblAlgn val="ctr"/>
        <c:lblOffset val="100"/>
        <c:noMultiLvlLbl val="0"/>
      </c:catAx>
      <c:valAx>
        <c:axId val="64215232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spPr>
          <a:ln w="9525">
            <a:noFill/>
          </a:ln>
        </c:spPr>
        <c:crossAx val="65115648"/>
        <c:crosses val="autoZero"/>
        <c:crossBetween val="between"/>
      </c:valAx>
      <c:valAx>
        <c:axId val="64215808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crossAx val="65116672"/>
        <c:crosses val="max"/>
        <c:crossBetween val="between"/>
      </c:valAx>
      <c:catAx>
        <c:axId val="65116672"/>
        <c:scaling>
          <c:orientation val="minMax"/>
        </c:scaling>
        <c:delete val="1"/>
        <c:axPos val="b"/>
        <c:majorTickMark val="out"/>
        <c:minorTickMark val="none"/>
        <c:tickLblPos val="none"/>
        <c:crossAx val="64215808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Obrat a transakce</a:t>
            </a:r>
          </a:p>
        </c:rich>
      </c:tx>
      <c:layout>
        <c:manualLayout>
          <c:xMode val="edge"/>
          <c:yMode val="edge"/>
          <c:x val="0.3209013209013209"/>
          <c:y val="2.402402402402403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komplet!$A$43</c:f>
              <c:strCache>
                <c:ptCount val="1"/>
                <c:pt idx="0">
                  <c:v>Obrat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Pt>
            <c:idx val="12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24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cat>
            <c:strRef>
              <c:f>komplet!$B$40:$Z$40</c:f>
              <c:strCache>
                <c:ptCount val="25"/>
                <c:pt idx="0">
                  <c:v>2011-09</c:v>
                </c:pt>
                <c:pt idx="1">
                  <c:v>2011-10</c:v>
                </c:pt>
                <c:pt idx="2">
                  <c:v>2011-11</c:v>
                </c:pt>
                <c:pt idx="3">
                  <c:v>2011-12</c:v>
                </c:pt>
                <c:pt idx="4">
                  <c:v>2012-01</c:v>
                </c:pt>
                <c:pt idx="5">
                  <c:v>2012-02</c:v>
                </c:pt>
                <c:pt idx="6">
                  <c:v>2012-03</c:v>
                </c:pt>
                <c:pt idx="7">
                  <c:v>2012-04</c:v>
                </c:pt>
                <c:pt idx="8">
                  <c:v>2012-05</c:v>
                </c:pt>
                <c:pt idx="9">
                  <c:v>2012-06</c:v>
                </c:pt>
                <c:pt idx="10">
                  <c:v>2012-07</c:v>
                </c:pt>
                <c:pt idx="11">
                  <c:v>2012-08</c:v>
                </c:pt>
                <c:pt idx="12">
                  <c:v>2012-09</c:v>
                </c:pt>
                <c:pt idx="13">
                  <c:v>2012-10</c:v>
                </c:pt>
                <c:pt idx="14">
                  <c:v>2012-11</c:v>
                </c:pt>
                <c:pt idx="15">
                  <c:v>2012-12</c:v>
                </c:pt>
                <c:pt idx="16">
                  <c:v>2013-01</c:v>
                </c:pt>
                <c:pt idx="17">
                  <c:v>2013-02</c:v>
                </c:pt>
                <c:pt idx="18">
                  <c:v>2013-03</c:v>
                </c:pt>
                <c:pt idx="19">
                  <c:v>2013-04</c:v>
                </c:pt>
                <c:pt idx="20">
                  <c:v>2013-05</c:v>
                </c:pt>
                <c:pt idx="21">
                  <c:v>2013-06</c:v>
                </c:pt>
                <c:pt idx="22">
                  <c:v>2013-07</c:v>
                </c:pt>
                <c:pt idx="23">
                  <c:v>2013-08</c:v>
                </c:pt>
                <c:pt idx="24">
                  <c:v>2013-09</c:v>
                </c:pt>
              </c:strCache>
            </c:strRef>
          </c:cat>
          <c:val>
            <c:numRef>
              <c:f>komplet!$B$43:$Z$43</c:f>
              <c:numCache>
                <c:formatCode>#,##0\ "Kč"</c:formatCode>
                <c:ptCount val="25"/>
                <c:pt idx="0">
                  <c:v>5612646.0578581598</c:v>
                </c:pt>
                <c:pt idx="1">
                  <c:v>7072228.8479274716</c:v>
                </c:pt>
                <c:pt idx="2">
                  <c:v>7509243.464232482</c:v>
                </c:pt>
                <c:pt idx="3">
                  <c:v>7148919.5873548137</c:v>
                </c:pt>
                <c:pt idx="4">
                  <c:v>6082847.5399525799</c:v>
                </c:pt>
                <c:pt idx="5">
                  <c:v>6929551.8627636638</c:v>
                </c:pt>
                <c:pt idx="6">
                  <c:v>8007332.5507222302</c:v>
                </c:pt>
                <c:pt idx="7">
                  <c:v>6060213.5957851447</c:v>
                </c:pt>
                <c:pt idx="8">
                  <c:v>6436799.6306412034</c:v>
                </c:pt>
                <c:pt idx="9">
                  <c:v>8104093.6022918709</c:v>
                </c:pt>
                <c:pt idx="10">
                  <c:v>7273887.0403815582</c:v>
                </c:pt>
                <c:pt idx="11">
                  <c:v>6795866.6386971883</c:v>
                </c:pt>
                <c:pt idx="12">
                  <c:v>4853668.767344987</c:v>
                </c:pt>
                <c:pt idx="13">
                  <c:v>7625258.1607867638</c:v>
                </c:pt>
                <c:pt idx="14">
                  <c:v>7870739.3513646908</c:v>
                </c:pt>
                <c:pt idx="15">
                  <c:v>8776518.8460085019</c:v>
                </c:pt>
                <c:pt idx="16">
                  <c:v>7459715.9008394042</c:v>
                </c:pt>
                <c:pt idx="17">
                  <c:v>5362049.4908932131</c:v>
                </c:pt>
                <c:pt idx="18">
                  <c:v>5927628.751073245</c:v>
                </c:pt>
                <c:pt idx="19">
                  <c:v>6888437.3192536756</c:v>
                </c:pt>
                <c:pt idx="20">
                  <c:v>5329917.5062825587</c:v>
                </c:pt>
                <c:pt idx="21">
                  <c:v>5690875.5160267651</c:v>
                </c:pt>
                <c:pt idx="22">
                  <c:v>10117909.344171729</c:v>
                </c:pt>
                <c:pt idx="23">
                  <c:v>8613068.6410574745</c:v>
                </c:pt>
                <c:pt idx="24">
                  <c:v>5732651.6271258974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64438784"/>
        <c:axId val="65259200"/>
      </c:barChart>
      <c:lineChart>
        <c:grouping val="standard"/>
        <c:varyColors val="0"/>
        <c:ser>
          <c:idx val="0"/>
          <c:order val="0"/>
          <c:tx>
            <c:strRef>
              <c:f>komplet!$A$42</c:f>
              <c:strCache>
                <c:ptCount val="1"/>
                <c:pt idx="0">
                  <c:v>Transakce</c:v>
                </c:pt>
              </c:strCache>
            </c:strRef>
          </c:tx>
          <c:dPt>
            <c:idx val="12"/>
            <c:marker>
              <c:symbol val="diamond"/>
              <c:size val="10"/>
            </c:marker>
            <c:bubble3D val="0"/>
          </c:dPt>
          <c:cat>
            <c:strRef>
              <c:f>komplet!$B$40:$Z$40</c:f>
              <c:strCache>
                <c:ptCount val="25"/>
                <c:pt idx="0">
                  <c:v>2011-09</c:v>
                </c:pt>
                <c:pt idx="1">
                  <c:v>2011-10</c:v>
                </c:pt>
                <c:pt idx="2">
                  <c:v>2011-11</c:v>
                </c:pt>
                <c:pt idx="3">
                  <c:v>2011-12</c:v>
                </c:pt>
                <c:pt idx="4">
                  <c:v>2012-01</c:v>
                </c:pt>
                <c:pt idx="5">
                  <c:v>2012-02</c:v>
                </c:pt>
                <c:pt idx="6">
                  <c:v>2012-03</c:v>
                </c:pt>
                <c:pt idx="7">
                  <c:v>2012-04</c:v>
                </c:pt>
                <c:pt idx="8">
                  <c:v>2012-05</c:v>
                </c:pt>
                <c:pt idx="9">
                  <c:v>2012-06</c:v>
                </c:pt>
                <c:pt idx="10">
                  <c:v>2012-07</c:v>
                </c:pt>
                <c:pt idx="11">
                  <c:v>2012-08</c:v>
                </c:pt>
                <c:pt idx="12">
                  <c:v>2012-09</c:v>
                </c:pt>
                <c:pt idx="13">
                  <c:v>2012-10</c:v>
                </c:pt>
                <c:pt idx="14">
                  <c:v>2012-11</c:v>
                </c:pt>
                <c:pt idx="15">
                  <c:v>2012-12</c:v>
                </c:pt>
                <c:pt idx="16">
                  <c:v>2013-01</c:v>
                </c:pt>
                <c:pt idx="17">
                  <c:v>2013-02</c:v>
                </c:pt>
                <c:pt idx="18">
                  <c:v>2013-03</c:v>
                </c:pt>
                <c:pt idx="19">
                  <c:v>2013-04</c:v>
                </c:pt>
                <c:pt idx="20">
                  <c:v>2013-05</c:v>
                </c:pt>
                <c:pt idx="21">
                  <c:v>2013-06</c:v>
                </c:pt>
                <c:pt idx="22">
                  <c:v>2013-07</c:v>
                </c:pt>
                <c:pt idx="23">
                  <c:v>2013-08</c:v>
                </c:pt>
                <c:pt idx="24">
                  <c:v>2013-09</c:v>
                </c:pt>
              </c:strCache>
            </c:strRef>
          </c:cat>
          <c:val>
            <c:numRef>
              <c:f>komplet!$B$42:$Z$42</c:f>
              <c:numCache>
                <c:formatCode>#,##0</c:formatCode>
                <c:ptCount val="25"/>
                <c:pt idx="0">
                  <c:v>4196.5432271161799</c:v>
                </c:pt>
                <c:pt idx="1">
                  <c:v>5880.3301163259484</c:v>
                </c:pt>
                <c:pt idx="2">
                  <c:v>6174.6797286259871</c:v>
                </c:pt>
                <c:pt idx="3">
                  <c:v>8076.0450361772819</c:v>
                </c:pt>
                <c:pt idx="4">
                  <c:v>5739.6203549920083</c:v>
                </c:pt>
                <c:pt idx="5">
                  <c:v>4664.2789572305037</c:v>
                </c:pt>
                <c:pt idx="6">
                  <c:v>4099.2263776107484</c:v>
                </c:pt>
                <c:pt idx="7">
                  <c:v>3576.7472171729246</c:v>
                </c:pt>
                <c:pt idx="8">
                  <c:v>4795.0268465030531</c:v>
                </c:pt>
                <c:pt idx="9">
                  <c:v>4526.0366671382435</c:v>
                </c:pt>
                <c:pt idx="10">
                  <c:v>4317.0639671233203</c:v>
                </c:pt>
                <c:pt idx="11">
                  <c:v>4371.5635288850626</c:v>
                </c:pt>
                <c:pt idx="12">
                  <c:v>3357.4838358702168</c:v>
                </c:pt>
                <c:pt idx="13">
                  <c:v>5613.5092584437134</c:v>
                </c:pt>
                <c:pt idx="14">
                  <c:v>5802.2784283342462</c:v>
                </c:pt>
                <c:pt idx="15">
                  <c:v>6498.0563986963762</c:v>
                </c:pt>
                <c:pt idx="16">
                  <c:v>4647.2899155403893</c:v>
                </c:pt>
                <c:pt idx="17">
                  <c:v>3691.8293032904539</c:v>
                </c:pt>
                <c:pt idx="18">
                  <c:v>4116.2655511659786</c:v>
                </c:pt>
                <c:pt idx="19">
                  <c:v>4637.1529333406843</c:v>
                </c:pt>
                <c:pt idx="20">
                  <c:v>4139.253368002931</c:v>
                </c:pt>
                <c:pt idx="21">
                  <c:v>4291.2784544376391</c:v>
                </c:pt>
                <c:pt idx="22">
                  <c:v>5975.6024233546095</c:v>
                </c:pt>
                <c:pt idx="23">
                  <c:v>4013.3592037143926</c:v>
                </c:pt>
                <c:pt idx="24">
                  <c:v>4030.3621809508832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80704"/>
        <c:axId val="65258624"/>
      </c:lineChart>
      <c:catAx>
        <c:axId val="49480704"/>
        <c:scaling>
          <c:orientation val="minMax"/>
        </c:scaling>
        <c:delete val="0"/>
        <c:axPos val="b"/>
        <c:majorTickMark val="none"/>
        <c:minorTickMark val="none"/>
        <c:tickLblPos val="nextTo"/>
        <c:crossAx val="65258624"/>
        <c:crosses val="autoZero"/>
        <c:auto val="1"/>
        <c:lblAlgn val="ctr"/>
        <c:lblOffset val="100"/>
        <c:noMultiLvlLbl val="0"/>
      </c:catAx>
      <c:valAx>
        <c:axId val="6525862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49480704"/>
        <c:crosses val="autoZero"/>
        <c:crossBetween val="between"/>
      </c:valAx>
      <c:valAx>
        <c:axId val="65259200"/>
        <c:scaling>
          <c:orientation val="minMax"/>
        </c:scaling>
        <c:delete val="0"/>
        <c:axPos val="r"/>
        <c:numFmt formatCode="#,##0\ &quot;Kč&quot;" sourceLinked="1"/>
        <c:majorTickMark val="out"/>
        <c:minorTickMark val="none"/>
        <c:tickLblPos val="nextTo"/>
        <c:crossAx val="64438784"/>
        <c:crosses val="max"/>
        <c:crossBetween val="between"/>
      </c:valAx>
      <c:catAx>
        <c:axId val="64438784"/>
        <c:scaling>
          <c:orientation val="minMax"/>
        </c:scaling>
        <c:delete val="1"/>
        <c:axPos val="b"/>
        <c:majorTickMark val="out"/>
        <c:minorTickMark val="none"/>
        <c:tickLblPos val="none"/>
        <c:crossAx val="65259200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</a:t>
            </a:r>
            <a:r>
              <a:rPr lang="cs-CZ"/>
              <a:t>ávštěvy podle </a:t>
            </a:r>
            <a:r>
              <a:rPr lang="cs-CZ" sz="1800" b="1" i="0" u="none" strike="noStrike" baseline="0">
                <a:effectLst/>
              </a:rPr>
              <a:t>kanálů</a:t>
            </a:r>
            <a:endParaRPr lang="cs-CZ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organic!$A$60</c:f>
              <c:strCache>
                <c:ptCount val="1"/>
                <c:pt idx="0">
                  <c:v>organic - Návštěvy</c:v>
                </c:pt>
              </c:strCache>
            </c:strRef>
          </c:tx>
          <c:marker>
            <c:symbol val="none"/>
          </c:marker>
          <c:cat>
            <c:strRef>
              <c:f>organic!$B$59:$Y$59</c:f>
              <c:strCache>
                <c:ptCount val="24"/>
                <c:pt idx="0">
                  <c:v>2011-09</c:v>
                </c:pt>
                <c:pt idx="1">
                  <c:v>2011-10</c:v>
                </c:pt>
                <c:pt idx="2">
                  <c:v>2011-11</c:v>
                </c:pt>
                <c:pt idx="3">
                  <c:v>2011-12</c:v>
                </c:pt>
                <c:pt idx="4">
                  <c:v>2012-01</c:v>
                </c:pt>
                <c:pt idx="5">
                  <c:v>2012-02</c:v>
                </c:pt>
                <c:pt idx="6">
                  <c:v>2012-03</c:v>
                </c:pt>
                <c:pt idx="7">
                  <c:v>2012-04</c:v>
                </c:pt>
                <c:pt idx="8">
                  <c:v>2012-06</c:v>
                </c:pt>
                <c:pt idx="9">
                  <c:v>2012-07</c:v>
                </c:pt>
                <c:pt idx="10">
                  <c:v>2012-08</c:v>
                </c:pt>
                <c:pt idx="11">
                  <c:v>2012-09</c:v>
                </c:pt>
                <c:pt idx="12">
                  <c:v>2012-10</c:v>
                </c:pt>
                <c:pt idx="13">
                  <c:v>2012-11</c:v>
                </c:pt>
                <c:pt idx="14">
                  <c:v>2012-12</c:v>
                </c:pt>
                <c:pt idx="15">
                  <c:v>2013-01</c:v>
                </c:pt>
                <c:pt idx="16">
                  <c:v>2013-02</c:v>
                </c:pt>
                <c:pt idx="17">
                  <c:v>2013-03</c:v>
                </c:pt>
                <c:pt idx="18">
                  <c:v>2013-04</c:v>
                </c:pt>
                <c:pt idx="19">
                  <c:v>2013-05</c:v>
                </c:pt>
                <c:pt idx="20">
                  <c:v>2013-06</c:v>
                </c:pt>
                <c:pt idx="21">
                  <c:v>2013-07</c:v>
                </c:pt>
                <c:pt idx="22">
                  <c:v>2013-08</c:v>
                </c:pt>
                <c:pt idx="23">
                  <c:v>2013-09</c:v>
                </c:pt>
              </c:strCache>
            </c:strRef>
          </c:cat>
          <c:val>
            <c:numRef>
              <c:f>organic!$B$60:$Y$60</c:f>
              <c:numCache>
                <c:formatCode>#,##0</c:formatCode>
                <c:ptCount val="24"/>
                <c:pt idx="0">
                  <c:v>99656.742747810174</c:v>
                </c:pt>
                <c:pt idx="1">
                  <c:v>80064.502495705034</c:v>
                </c:pt>
                <c:pt idx="2">
                  <c:v>68371.299986079393</c:v>
                </c:pt>
                <c:pt idx="3">
                  <c:v>87449.295353422916</c:v>
                </c:pt>
                <c:pt idx="4">
                  <c:v>78103.011569383685</c:v>
                </c:pt>
                <c:pt idx="5">
                  <c:v>122182.86486047367</c:v>
                </c:pt>
                <c:pt idx="6">
                  <c:v>78205.523463715814</c:v>
                </c:pt>
                <c:pt idx="7">
                  <c:v>86218.631306354539</c:v>
                </c:pt>
                <c:pt idx="8">
                  <c:v>80377.725261953587</c:v>
                </c:pt>
                <c:pt idx="9">
                  <c:v>82380.737529712598</c:v>
                </c:pt>
                <c:pt idx="10">
                  <c:v>53687.036697150113</c:v>
                </c:pt>
                <c:pt idx="11">
                  <c:v>70470.322270727906</c:v>
                </c:pt>
                <c:pt idx="12">
                  <c:v>80811.045933507135</c:v>
                </c:pt>
                <c:pt idx="13">
                  <c:v>99236.506563698524</c:v>
                </c:pt>
                <c:pt idx="14">
                  <c:v>108978.76545963682</c:v>
                </c:pt>
                <c:pt idx="15">
                  <c:v>94297.805145445789</c:v>
                </c:pt>
                <c:pt idx="16">
                  <c:v>79799.250685004503</c:v>
                </c:pt>
                <c:pt idx="17">
                  <c:v>66704.643397366395</c:v>
                </c:pt>
                <c:pt idx="18">
                  <c:v>66959.510983824061</c:v>
                </c:pt>
                <c:pt idx="19">
                  <c:v>90304.186882486058</c:v>
                </c:pt>
                <c:pt idx="20">
                  <c:v>81793.447129666965</c:v>
                </c:pt>
                <c:pt idx="21">
                  <c:v>61163.218020243228</c:v>
                </c:pt>
                <c:pt idx="22">
                  <c:v>67628.705168956119</c:v>
                </c:pt>
                <c:pt idx="23">
                  <c:v>67254.796128580099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cpc!$A$60</c:f>
              <c:strCache>
                <c:ptCount val="1"/>
                <c:pt idx="0">
                  <c:v>cpc - Návštěvy</c:v>
                </c:pt>
              </c:strCache>
            </c:strRef>
          </c:tx>
          <c:marker>
            <c:symbol val="none"/>
          </c:marker>
          <c:cat>
            <c:strRef>
              <c:f>organic!$B$59:$Y$59</c:f>
              <c:strCache>
                <c:ptCount val="24"/>
                <c:pt idx="0">
                  <c:v>2011-09</c:v>
                </c:pt>
                <c:pt idx="1">
                  <c:v>2011-10</c:v>
                </c:pt>
                <c:pt idx="2">
                  <c:v>2011-11</c:v>
                </c:pt>
                <c:pt idx="3">
                  <c:v>2011-12</c:v>
                </c:pt>
                <c:pt idx="4">
                  <c:v>2012-01</c:v>
                </c:pt>
                <c:pt idx="5">
                  <c:v>2012-02</c:v>
                </c:pt>
                <c:pt idx="6">
                  <c:v>2012-03</c:v>
                </c:pt>
                <c:pt idx="7">
                  <c:v>2012-04</c:v>
                </c:pt>
                <c:pt idx="8">
                  <c:v>2012-06</c:v>
                </c:pt>
                <c:pt idx="9">
                  <c:v>2012-07</c:v>
                </c:pt>
                <c:pt idx="10">
                  <c:v>2012-08</c:v>
                </c:pt>
                <c:pt idx="11">
                  <c:v>2012-09</c:v>
                </c:pt>
                <c:pt idx="12">
                  <c:v>2012-10</c:v>
                </c:pt>
                <c:pt idx="13">
                  <c:v>2012-11</c:v>
                </c:pt>
                <c:pt idx="14">
                  <c:v>2012-12</c:v>
                </c:pt>
                <c:pt idx="15">
                  <c:v>2013-01</c:v>
                </c:pt>
                <c:pt idx="16">
                  <c:v>2013-02</c:v>
                </c:pt>
                <c:pt idx="17">
                  <c:v>2013-03</c:v>
                </c:pt>
                <c:pt idx="18">
                  <c:v>2013-04</c:v>
                </c:pt>
                <c:pt idx="19">
                  <c:v>2013-05</c:v>
                </c:pt>
                <c:pt idx="20">
                  <c:v>2013-06</c:v>
                </c:pt>
                <c:pt idx="21">
                  <c:v>2013-07</c:v>
                </c:pt>
                <c:pt idx="22">
                  <c:v>2013-08</c:v>
                </c:pt>
                <c:pt idx="23">
                  <c:v>2013-09</c:v>
                </c:pt>
              </c:strCache>
            </c:strRef>
          </c:cat>
          <c:val>
            <c:numRef>
              <c:f>cpc!$B$60:$Y$60</c:f>
              <c:numCache>
                <c:formatCode>#,##0</c:formatCode>
                <c:ptCount val="24"/>
                <c:pt idx="0">
                  <c:v>57415.460611426694</c:v>
                </c:pt>
                <c:pt idx="1">
                  <c:v>88771.556080224196</c:v>
                </c:pt>
                <c:pt idx="2">
                  <c:v>80601.823779468847</c:v>
                </c:pt>
                <c:pt idx="3">
                  <c:v>86099.582918459288</c:v>
                </c:pt>
                <c:pt idx="4">
                  <c:v>64738.582049830227</c:v>
                </c:pt>
                <c:pt idx="5">
                  <c:v>72783.4691291864</c:v>
                </c:pt>
                <c:pt idx="6">
                  <c:v>90537.58505650454</c:v>
                </c:pt>
                <c:pt idx="7">
                  <c:v>37370.494458051107</c:v>
                </c:pt>
                <c:pt idx="8">
                  <c:v>35491.964066236884</c:v>
                </c:pt>
                <c:pt idx="9">
                  <c:v>31954.701888448904</c:v>
                </c:pt>
                <c:pt idx="10">
                  <c:v>41634.542409035574</c:v>
                </c:pt>
                <c:pt idx="11">
                  <c:v>48071.729490653372</c:v>
                </c:pt>
                <c:pt idx="12">
                  <c:v>49719.818410323991</c:v>
                </c:pt>
                <c:pt idx="13">
                  <c:v>47064.432911393247</c:v>
                </c:pt>
                <c:pt idx="14">
                  <c:v>39248.545663798781</c:v>
                </c:pt>
                <c:pt idx="15">
                  <c:v>43237.76216916414</c:v>
                </c:pt>
                <c:pt idx="16">
                  <c:v>28669.914346410627</c:v>
                </c:pt>
                <c:pt idx="17">
                  <c:v>43867.693809533135</c:v>
                </c:pt>
                <c:pt idx="18">
                  <c:v>69657.033581191718</c:v>
                </c:pt>
                <c:pt idx="19">
                  <c:v>84121.454774298487</c:v>
                </c:pt>
                <c:pt idx="20">
                  <c:v>49720.774674934277</c:v>
                </c:pt>
                <c:pt idx="21">
                  <c:v>101439.13276511112</c:v>
                </c:pt>
                <c:pt idx="22">
                  <c:v>88825.709220358665</c:v>
                </c:pt>
                <c:pt idx="23">
                  <c:v>70700.271481561984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zbožáky!$A$60</c:f>
              <c:strCache>
                <c:ptCount val="1"/>
                <c:pt idx="0">
                  <c:v>zbožáky - Návštěvy</c:v>
                </c:pt>
              </c:strCache>
            </c:strRef>
          </c:tx>
          <c:marker>
            <c:symbol val="none"/>
          </c:marker>
          <c:cat>
            <c:strRef>
              <c:f>organic!$B$59:$Y$59</c:f>
              <c:strCache>
                <c:ptCount val="24"/>
                <c:pt idx="0">
                  <c:v>2011-09</c:v>
                </c:pt>
                <c:pt idx="1">
                  <c:v>2011-10</c:v>
                </c:pt>
                <c:pt idx="2">
                  <c:v>2011-11</c:v>
                </c:pt>
                <c:pt idx="3">
                  <c:v>2011-12</c:v>
                </c:pt>
                <c:pt idx="4">
                  <c:v>2012-01</c:v>
                </c:pt>
                <c:pt idx="5">
                  <c:v>2012-02</c:v>
                </c:pt>
                <c:pt idx="6">
                  <c:v>2012-03</c:v>
                </c:pt>
                <c:pt idx="7">
                  <c:v>2012-04</c:v>
                </c:pt>
                <c:pt idx="8">
                  <c:v>2012-06</c:v>
                </c:pt>
                <c:pt idx="9">
                  <c:v>2012-07</c:v>
                </c:pt>
                <c:pt idx="10">
                  <c:v>2012-08</c:v>
                </c:pt>
                <c:pt idx="11">
                  <c:v>2012-09</c:v>
                </c:pt>
                <c:pt idx="12">
                  <c:v>2012-10</c:v>
                </c:pt>
                <c:pt idx="13">
                  <c:v>2012-11</c:v>
                </c:pt>
                <c:pt idx="14">
                  <c:v>2012-12</c:v>
                </c:pt>
                <c:pt idx="15">
                  <c:v>2013-01</c:v>
                </c:pt>
                <c:pt idx="16">
                  <c:v>2013-02</c:v>
                </c:pt>
                <c:pt idx="17">
                  <c:v>2013-03</c:v>
                </c:pt>
                <c:pt idx="18">
                  <c:v>2013-04</c:v>
                </c:pt>
                <c:pt idx="19">
                  <c:v>2013-05</c:v>
                </c:pt>
                <c:pt idx="20">
                  <c:v>2013-06</c:v>
                </c:pt>
                <c:pt idx="21">
                  <c:v>2013-07</c:v>
                </c:pt>
                <c:pt idx="22">
                  <c:v>2013-08</c:v>
                </c:pt>
                <c:pt idx="23">
                  <c:v>2013-09</c:v>
                </c:pt>
              </c:strCache>
            </c:strRef>
          </c:cat>
          <c:val>
            <c:numRef>
              <c:f>zbožáky!$B$60:$Y$60</c:f>
              <c:numCache>
                <c:formatCode>#,##0</c:formatCode>
                <c:ptCount val="24"/>
                <c:pt idx="0">
                  <c:v>18469.279107052105</c:v>
                </c:pt>
                <c:pt idx="1">
                  <c:v>16641.503933446529</c:v>
                </c:pt>
                <c:pt idx="2">
                  <c:v>17249.729564909587</c:v>
                </c:pt>
                <c:pt idx="3">
                  <c:v>19040.951486825408</c:v>
                </c:pt>
                <c:pt idx="4">
                  <c:v>26585.640287686871</c:v>
                </c:pt>
                <c:pt idx="5">
                  <c:v>31773.054384188843</c:v>
                </c:pt>
                <c:pt idx="6">
                  <c:v>18561.841081023733</c:v>
                </c:pt>
                <c:pt idx="7">
                  <c:v>16529.388648686043</c:v>
                </c:pt>
                <c:pt idx="8">
                  <c:v>14224.007957417516</c:v>
                </c:pt>
                <c:pt idx="9">
                  <c:v>16627.622477876856</c:v>
                </c:pt>
                <c:pt idx="10">
                  <c:v>20336.664228849833</c:v>
                </c:pt>
                <c:pt idx="11">
                  <c:v>18529.955884242863</c:v>
                </c:pt>
                <c:pt idx="12">
                  <c:v>14250.218624242685</c:v>
                </c:pt>
                <c:pt idx="13">
                  <c:v>18646.267228530989</c:v>
                </c:pt>
                <c:pt idx="14">
                  <c:v>19063.318681048717</c:v>
                </c:pt>
                <c:pt idx="15">
                  <c:v>17663.252605268623</c:v>
                </c:pt>
                <c:pt idx="16">
                  <c:v>14725.060112407918</c:v>
                </c:pt>
                <c:pt idx="17">
                  <c:v>13693.765987108885</c:v>
                </c:pt>
                <c:pt idx="18">
                  <c:v>15665.443992043609</c:v>
                </c:pt>
                <c:pt idx="19">
                  <c:v>14179.966533306146</c:v>
                </c:pt>
                <c:pt idx="20">
                  <c:v>17325.871676251863</c:v>
                </c:pt>
                <c:pt idx="21">
                  <c:v>11647.188384996616</c:v>
                </c:pt>
                <c:pt idx="22">
                  <c:v>11537.591788827542</c:v>
                </c:pt>
                <c:pt idx="23">
                  <c:v>15851.897031025219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'direct,ref,mm,rtb'!$A$46</c:f>
              <c:strCache>
                <c:ptCount val="1"/>
                <c:pt idx="0">
                  <c:v>direct - Návštěvy</c:v>
                </c:pt>
              </c:strCache>
            </c:strRef>
          </c:tx>
          <c:marker>
            <c:symbol val="none"/>
          </c:marker>
          <c:cat>
            <c:strRef>
              <c:f>organic!$B$59:$Y$59</c:f>
              <c:strCache>
                <c:ptCount val="24"/>
                <c:pt idx="0">
                  <c:v>2011-09</c:v>
                </c:pt>
                <c:pt idx="1">
                  <c:v>2011-10</c:v>
                </c:pt>
                <c:pt idx="2">
                  <c:v>2011-11</c:v>
                </c:pt>
                <c:pt idx="3">
                  <c:v>2011-12</c:v>
                </c:pt>
                <c:pt idx="4">
                  <c:v>2012-01</c:v>
                </c:pt>
                <c:pt idx="5">
                  <c:v>2012-02</c:v>
                </c:pt>
                <c:pt idx="6">
                  <c:v>2012-03</c:v>
                </c:pt>
                <c:pt idx="7">
                  <c:v>2012-04</c:v>
                </c:pt>
                <c:pt idx="8">
                  <c:v>2012-06</c:v>
                </c:pt>
                <c:pt idx="9">
                  <c:v>2012-07</c:v>
                </c:pt>
                <c:pt idx="10">
                  <c:v>2012-08</c:v>
                </c:pt>
                <c:pt idx="11">
                  <c:v>2012-09</c:v>
                </c:pt>
                <c:pt idx="12">
                  <c:v>2012-10</c:v>
                </c:pt>
                <c:pt idx="13">
                  <c:v>2012-11</c:v>
                </c:pt>
                <c:pt idx="14">
                  <c:v>2012-12</c:v>
                </c:pt>
                <c:pt idx="15">
                  <c:v>2013-01</c:v>
                </c:pt>
                <c:pt idx="16">
                  <c:v>2013-02</c:v>
                </c:pt>
                <c:pt idx="17">
                  <c:v>2013-03</c:v>
                </c:pt>
                <c:pt idx="18">
                  <c:v>2013-04</c:v>
                </c:pt>
                <c:pt idx="19">
                  <c:v>2013-05</c:v>
                </c:pt>
                <c:pt idx="20">
                  <c:v>2013-06</c:v>
                </c:pt>
                <c:pt idx="21">
                  <c:v>2013-07</c:v>
                </c:pt>
                <c:pt idx="22">
                  <c:v>2013-08</c:v>
                </c:pt>
                <c:pt idx="23">
                  <c:v>2013-09</c:v>
                </c:pt>
              </c:strCache>
            </c:strRef>
          </c:cat>
          <c:val>
            <c:numRef>
              <c:f>'direct,ref,mm,rtb'!$B$46:$Y$46</c:f>
              <c:numCache>
                <c:formatCode>#,##0</c:formatCode>
                <c:ptCount val="24"/>
                <c:pt idx="0">
                  <c:v>28584.255984475843</c:v>
                </c:pt>
                <c:pt idx="1">
                  <c:v>27690.382954141427</c:v>
                </c:pt>
                <c:pt idx="2">
                  <c:v>37485.622691099939</c:v>
                </c:pt>
                <c:pt idx="3">
                  <c:v>61693.059162690603</c:v>
                </c:pt>
                <c:pt idx="4">
                  <c:v>37010.210431665568</c:v>
                </c:pt>
                <c:pt idx="5">
                  <c:v>41677.553856170867</c:v>
                </c:pt>
                <c:pt idx="6">
                  <c:v>35267.232822410799</c:v>
                </c:pt>
                <c:pt idx="7">
                  <c:v>28459.557524019419</c:v>
                </c:pt>
                <c:pt idx="8">
                  <c:v>39017.671840262527</c:v>
                </c:pt>
                <c:pt idx="9">
                  <c:v>31653.75964817551</c:v>
                </c:pt>
                <c:pt idx="10">
                  <c:v>53661.645329335443</c:v>
                </c:pt>
                <c:pt idx="11">
                  <c:v>35520.023457343559</c:v>
                </c:pt>
                <c:pt idx="12">
                  <c:v>46239.190049573896</c:v>
                </c:pt>
                <c:pt idx="13">
                  <c:v>61203.80210407541</c:v>
                </c:pt>
                <c:pt idx="14">
                  <c:v>47354.202186662296</c:v>
                </c:pt>
                <c:pt idx="15">
                  <c:v>40050.252231325067</c:v>
                </c:pt>
                <c:pt idx="16">
                  <c:v>23479.951959483606</c:v>
                </c:pt>
                <c:pt idx="17">
                  <c:v>40803.136011528943</c:v>
                </c:pt>
                <c:pt idx="18">
                  <c:v>38577.252259191817</c:v>
                </c:pt>
                <c:pt idx="19">
                  <c:v>26419.543210045984</c:v>
                </c:pt>
                <c:pt idx="20">
                  <c:v>45415.358291371464</c:v>
                </c:pt>
                <c:pt idx="21">
                  <c:v>49965.344312023182</c:v>
                </c:pt>
                <c:pt idx="22">
                  <c:v>48030.9818026172</c:v>
                </c:pt>
                <c:pt idx="23">
                  <c:v>29977.822343317737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'direct,ref,mm,rtb'!$A$58</c:f>
              <c:strCache>
                <c:ptCount val="1"/>
                <c:pt idx="0">
                  <c:v>referral - Návštěvy</c:v>
                </c:pt>
              </c:strCache>
            </c:strRef>
          </c:tx>
          <c:marker>
            <c:symbol val="none"/>
          </c:marker>
          <c:cat>
            <c:strRef>
              <c:f>organic!$B$59:$Y$59</c:f>
              <c:strCache>
                <c:ptCount val="24"/>
                <c:pt idx="0">
                  <c:v>2011-09</c:v>
                </c:pt>
                <c:pt idx="1">
                  <c:v>2011-10</c:v>
                </c:pt>
                <c:pt idx="2">
                  <c:v>2011-11</c:v>
                </c:pt>
                <c:pt idx="3">
                  <c:v>2011-12</c:v>
                </c:pt>
                <c:pt idx="4">
                  <c:v>2012-01</c:v>
                </c:pt>
                <c:pt idx="5">
                  <c:v>2012-02</c:v>
                </c:pt>
                <c:pt idx="6">
                  <c:v>2012-03</c:v>
                </c:pt>
                <c:pt idx="7">
                  <c:v>2012-04</c:v>
                </c:pt>
                <c:pt idx="8">
                  <c:v>2012-06</c:v>
                </c:pt>
                <c:pt idx="9">
                  <c:v>2012-07</c:v>
                </c:pt>
                <c:pt idx="10">
                  <c:v>2012-08</c:v>
                </c:pt>
                <c:pt idx="11">
                  <c:v>2012-09</c:v>
                </c:pt>
                <c:pt idx="12">
                  <c:v>2012-10</c:v>
                </c:pt>
                <c:pt idx="13">
                  <c:v>2012-11</c:v>
                </c:pt>
                <c:pt idx="14">
                  <c:v>2012-12</c:v>
                </c:pt>
                <c:pt idx="15">
                  <c:v>2013-01</c:v>
                </c:pt>
                <c:pt idx="16">
                  <c:v>2013-02</c:v>
                </c:pt>
                <c:pt idx="17">
                  <c:v>2013-03</c:v>
                </c:pt>
                <c:pt idx="18">
                  <c:v>2013-04</c:v>
                </c:pt>
                <c:pt idx="19">
                  <c:v>2013-05</c:v>
                </c:pt>
                <c:pt idx="20">
                  <c:v>2013-06</c:v>
                </c:pt>
                <c:pt idx="21">
                  <c:v>2013-07</c:v>
                </c:pt>
                <c:pt idx="22">
                  <c:v>2013-08</c:v>
                </c:pt>
                <c:pt idx="23">
                  <c:v>2013-09</c:v>
                </c:pt>
              </c:strCache>
            </c:strRef>
          </c:cat>
          <c:val>
            <c:numRef>
              <c:f>'direct,ref,mm,rtb'!$B$58:$Y$58</c:f>
              <c:numCache>
                <c:formatCode>#,##0</c:formatCode>
                <c:ptCount val="24"/>
                <c:pt idx="0">
                  <c:v>31069.247355513631</c:v>
                </c:pt>
                <c:pt idx="1">
                  <c:v>71311.918255443539</c:v>
                </c:pt>
                <c:pt idx="2">
                  <c:v>36338.71642555904</c:v>
                </c:pt>
                <c:pt idx="3">
                  <c:v>77470.338497748977</c:v>
                </c:pt>
                <c:pt idx="4">
                  <c:v>57569.468059129758</c:v>
                </c:pt>
                <c:pt idx="5">
                  <c:v>43252.298124434186</c:v>
                </c:pt>
                <c:pt idx="6">
                  <c:v>48671.333536035643</c:v>
                </c:pt>
                <c:pt idx="7">
                  <c:v>49798.051188657169</c:v>
                </c:pt>
                <c:pt idx="8">
                  <c:v>43164.894123769198</c:v>
                </c:pt>
                <c:pt idx="9">
                  <c:v>27051.12083325471</c:v>
                </c:pt>
                <c:pt idx="10">
                  <c:v>22305.048053376115</c:v>
                </c:pt>
                <c:pt idx="11">
                  <c:v>28821.019720576704</c:v>
                </c:pt>
                <c:pt idx="12">
                  <c:v>61869.717307270796</c:v>
                </c:pt>
                <c:pt idx="13">
                  <c:v>45459.01358747964</c:v>
                </c:pt>
                <c:pt idx="14">
                  <c:v>52086.904454532036</c:v>
                </c:pt>
                <c:pt idx="15">
                  <c:v>58261.373448069353</c:v>
                </c:pt>
                <c:pt idx="16">
                  <c:v>21162.93462439251</c:v>
                </c:pt>
                <c:pt idx="17">
                  <c:v>31541.838999351949</c:v>
                </c:pt>
                <c:pt idx="18">
                  <c:v>27561.265142519718</c:v>
                </c:pt>
                <c:pt idx="19">
                  <c:v>26147.82619014693</c:v>
                </c:pt>
                <c:pt idx="20">
                  <c:v>17205.480499437828</c:v>
                </c:pt>
                <c:pt idx="21">
                  <c:v>25381.163751351902</c:v>
                </c:pt>
                <c:pt idx="22">
                  <c:v>17225.168200363525</c:v>
                </c:pt>
                <c:pt idx="23">
                  <c:v>21490.637922366568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439808"/>
        <c:axId val="65264384"/>
      </c:lineChart>
      <c:catAx>
        <c:axId val="64439808"/>
        <c:scaling>
          <c:orientation val="minMax"/>
        </c:scaling>
        <c:delete val="0"/>
        <c:axPos val="b"/>
        <c:majorTickMark val="none"/>
        <c:minorTickMark val="none"/>
        <c:tickLblPos val="nextTo"/>
        <c:crossAx val="65264384"/>
        <c:crosses val="autoZero"/>
        <c:auto val="1"/>
        <c:lblAlgn val="ctr"/>
        <c:lblOffset val="100"/>
        <c:noMultiLvlLbl val="0"/>
      </c:catAx>
      <c:valAx>
        <c:axId val="6526438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6443980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paperSize="9" orientation="landscape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Obrat podle kanálů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organic!$A$62</c:f>
              <c:strCache>
                <c:ptCount val="1"/>
                <c:pt idx="0">
                  <c:v>organic - Obrat</c:v>
                </c:pt>
              </c:strCache>
            </c:strRef>
          </c:tx>
          <c:marker>
            <c:symbol val="none"/>
          </c:marker>
          <c:cat>
            <c:strRef>
              <c:f>organic!$B$59:$Y$59</c:f>
              <c:strCache>
                <c:ptCount val="24"/>
                <c:pt idx="0">
                  <c:v>2011-09</c:v>
                </c:pt>
                <c:pt idx="1">
                  <c:v>2011-10</c:v>
                </c:pt>
                <c:pt idx="2">
                  <c:v>2011-11</c:v>
                </c:pt>
                <c:pt idx="3">
                  <c:v>2011-12</c:v>
                </c:pt>
                <c:pt idx="4">
                  <c:v>2012-01</c:v>
                </c:pt>
                <c:pt idx="5">
                  <c:v>2012-02</c:v>
                </c:pt>
                <c:pt idx="6">
                  <c:v>2012-03</c:v>
                </c:pt>
                <c:pt idx="7">
                  <c:v>2012-04</c:v>
                </c:pt>
                <c:pt idx="8">
                  <c:v>2012-06</c:v>
                </c:pt>
                <c:pt idx="9">
                  <c:v>2012-07</c:v>
                </c:pt>
                <c:pt idx="10">
                  <c:v>2012-08</c:v>
                </c:pt>
                <c:pt idx="11">
                  <c:v>2012-09</c:v>
                </c:pt>
                <c:pt idx="12">
                  <c:v>2012-10</c:v>
                </c:pt>
                <c:pt idx="13">
                  <c:v>2012-11</c:v>
                </c:pt>
                <c:pt idx="14">
                  <c:v>2012-12</c:v>
                </c:pt>
                <c:pt idx="15">
                  <c:v>2013-01</c:v>
                </c:pt>
                <c:pt idx="16">
                  <c:v>2013-02</c:v>
                </c:pt>
                <c:pt idx="17">
                  <c:v>2013-03</c:v>
                </c:pt>
                <c:pt idx="18">
                  <c:v>2013-04</c:v>
                </c:pt>
                <c:pt idx="19">
                  <c:v>2013-05</c:v>
                </c:pt>
                <c:pt idx="20">
                  <c:v>2013-06</c:v>
                </c:pt>
                <c:pt idx="21">
                  <c:v>2013-07</c:v>
                </c:pt>
                <c:pt idx="22">
                  <c:v>2013-08</c:v>
                </c:pt>
                <c:pt idx="23">
                  <c:v>2013-09</c:v>
                </c:pt>
              </c:strCache>
            </c:strRef>
          </c:cat>
          <c:val>
            <c:numRef>
              <c:f>organic!$B$62:$Y$62</c:f>
              <c:numCache>
                <c:formatCode>#,##0\ "Kč"</c:formatCode>
                <c:ptCount val="24"/>
                <c:pt idx="0">
                  <c:v>1625663.6408115267</c:v>
                </c:pt>
                <c:pt idx="1">
                  <c:v>1476812.2069699597</c:v>
                </c:pt>
                <c:pt idx="2">
                  <c:v>1803935.2482572517</c:v>
                </c:pt>
                <c:pt idx="3">
                  <c:v>1425163.8791495946</c:v>
                </c:pt>
                <c:pt idx="4">
                  <c:v>1133553.058618366</c:v>
                </c:pt>
                <c:pt idx="5">
                  <c:v>1199037.2484804031</c:v>
                </c:pt>
                <c:pt idx="6">
                  <c:v>1115182.8012782668</c:v>
                </c:pt>
                <c:pt idx="7">
                  <c:v>1354646.5326466509</c:v>
                </c:pt>
                <c:pt idx="8">
                  <c:v>2322866.5389582659</c:v>
                </c:pt>
                <c:pt idx="9">
                  <c:v>2168274.4024570547</c:v>
                </c:pt>
                <c:pt idx="10">
                  <c:v>2280523.1246861676</c:v>
                </c:pt>
                <c:pt idx="11">
                  <c:v>1128459.8917390101</c:v>
                </c:pt>
                <c:pt idx="12">
                  <c:v>1704582.2476397217</c:v>
                </c:pt>
                <c:pt idx="13">
                  <c:v>2407538.3640369996</c:v>
                </c:pt>
                <c:pt idx="14">
                  <c:v>2556754.3949674726</c:v>
                </c:pt>
                <c:pt idx="15">
                  <c:v>2275561.142202056</c:v>
                </c:pt>
                <c:pt idx="16">
                  <c:v>1589456.4469352737</c:v>
                </c:pt>
                <c:pt idx="17">
                  <c:v>1346859.6555919629</c:v>
                </c:pt>
                <c:pt idx="18">
                  <c:v>1339163.7570281446</c:v>
                </c:pt>
                <c:pt idx="19">
                  <c:v>1227276.4406480754</c:v>
                </c:pt>
                <c:pt idx="20">
                  <c:v>1356767.0104299367</c:v>
                </c:pt>
                <c:pt idx="21">
                  <c:v>2315645.9019208914</c:v>
                </c:pt>
                <c:pt idx="22">
                  <c:v>2084450.0059375125</c:v>
                </c:pt>
                <c:pt idx="23">
                  <c:v>1741411.3256157408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cpc!$A$62</c:f>
              <c:strCache>
                <c:ptCount val="1"/>
                <c:pt idx="0">
                  <c:v>cpc - Obrat</c:v>
                </c:pt>
              </c:strCache>
            </c:strRef>
          </c:tx>
          <c:marker>
            <c:symbol val="none"/>
          </c:marker>
          <c:cat>
            <c:strRef>
              <c:f>organic!$B$59:$Y$59</c:f>
              <c:strCache>
                <c:ptCount val="24"/>
                <c:pt idx="0">
                  <c:v>2011-09</c:v>
                </c:pt>
                <c:pt idx="1">
                  <c:v>2011-10</c:v>
                </c:pt>
                <c:pt idx="2">
                  <c:v>2011-11</c:v>
                </c:pt>
                <c:pt idx="3">
                  <c:v>2011-12</c:v>
                </c:pt>
                <c:pt idx="4">
                  <c:v>2012-01</c:v>
                </c:pt>
                <c:pt idx="5">
                  <c:v>2012-02</c:v>
                </c:pt>
                <c:pt idx="6">
                  <c:v>2012-03</c:v>
                </c:pt>
                <c:pt idx="7">
                  <c:v>2012-04</c:v>
                </c:pt>
                <c:pt idx="8">
                  <c:v>2012-06</c:v>
                </c:pt>
                <c:pt idx="9">
                  <c:v>2012-07</c:v>
                </c:pt>
                <c:pt idx="10">
                  <c:v>2012-08</c:v>
                </c:pt>
                <c:pt idx="11">
                  <c:v>2012-09</c:v>
                </c:pt>
                <c:pt idx="12">
                  <c:v>2012-10</c:v>
                </c:pt>
                <c:pt idx="13">
                  <c:v>2012-11</c:v>
                </c:pt>
                <c:pt idx="14">
                  <c:v>2012-12</c:v>
                </c:pt>
                <c:pt idx="15">
                  <c:v>2013-01</c:v>
                </c:pt>
                <c:pt idx="16">
                  <c:v>2013-02</c:v>
                </c:pt>
                <c:pt idx="17">
                  <c:v>2013-03</c:v>
                </c:pt>
                <c:pt idx="18">
                  <c:v>2013-04</c:v>
                </c:pt>
                <c:pt idx="19">
                  <c:v>2013-05</c:v>
                </c:pt>
                <c:pt idx="20">
                  <c:v>2013-06</c:v>
                </c:pt>
                <c:pt idx="21">
                  <c:v>2013-07</c:v>
                </c:pt>
                <c:pt idx="22">
                  <c:v>2013-08</c:v>
                </c:pt>
                <c:pt idx="23">
                  <c:v>2013-09</c:v>
                </c:pt>
              </c:strCache>
            </c:strRef>
          </c:cat>
          <c:val>
            <c:numRef>
              <c:f>cpc!$B$62:$Y$62</c:f>
              <c:numCache>
                <c:formatCode>#,##0\ "Kč"</c:formatCode>
                <c:ptCount val="24"/>
                <c:pt idx="0">
                  <c:v>835188.60433776514</c:v>
                </c:pt>
                <c:pt idx="1">
                  <c:v>840563.3970567754</c:v>
                </c:pt>
                <c:pt idx="2">
                  <c:v>1700967.095527072</c:v>
                </c:pt>
                <c:pt idx="3">
                  <c:v>1766352.1855515323</c:v>
                </c:pt>
                <c:pt idx="4">
                  <c:v>1256377.8430886078</c:v>
                </c:pt>
                <c:pt idx="5">
                  <c:v>1727304.5392768611</c:v>
                </c:pt>
                <c:pt idx="6">
                  <c:v>1759024.7946753963</c:v>
                </c:pt>
                <c:pt idx="7">
                  <c:v>673208.9297773944</c:v>
                </c:pt>
                <c:pt idx="8">
                  <c:v>1710651.2987210702</c:v>
                </c:pt>
                <c:pt idx="9">
                  <c:v>1269661.9340164301</c:v>
                </c:pt>
                <c:pt idx="10">
                  <c:v>1174054.463646529</c:v>
                </c:pt>
                <c:pt idx="11">
                  <c:v>911382.90685243998</c:v>
                </c:pt>
                <c:pt idx="12">
                  <c:v>730670.40559006063</c:v>
                </c:pt>
                <c:pt idx="13">
                  <c:v>1331046.4854594802</c:v>
                </c:pt>
                <c:pt idx="14">
                  <c:v>1533198.4467603411</c:v>
                </c:pt>
                <c:pt idx="15">
                  <c:v>1143577.5505522555</c:v>
                </c:pt>
                <c:pt idx="16">
                  <c:v>715114.55716700898</c:v>
                </c:pt>
                <c:pt idx="17">
                  <c:v>840721.89584959648</c:v>
                </c:pt>
                <c:pt idx="18">
                  <c:v>1484790.8238406845</c:v>
                </c:pt>
                <c:pt idx="19">
                  <c:v>864370.15001439268</c:v>
                </c:pt>
                <c:pt idx="20">
                  <c:v>963783.26334459952</c:v>
                </c:pt>
                <c:pt idx="21">
                  <c:v>2319694.2712367917</c:v>
                </c:pt>
                <c:pt idx="22">
                  <c:v>1637535.8854867688</c:v>
                </c:pt>
                <c:pt idx="23">
                  <c:v>1303238.6134926514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zbožáky!$A$62</c:f>
              <c:strCache>
                <c:ptCount val="1"/>
                <c:pt idx="0">
                  <c:v>zbožáky - Obrat</c:v>
                </c:pt>
              </c:strCache>
            </c:strRef>
          </c:tx>
          <c:marker>
            <c:symbol val="none"/>
          </c:marker>
          <c:cat>
            <c:strRef>
              <c:f>organic!$B$59:$Y$59</c:f>
              <c:strCache>
                <c:ptCount val="24"/>
                <c:pt idx="0">
                  <c:v>2011-09</c:v>
                </c:pt>
                <c:pt idx="1">
                  <c:v>2011-10</c:v>
                </c:pt>
                <c:pt idx="2">
                  <c:v>2011-11</c:v>
                </c:pt>
                <c:pt idx="3">
                  <c:v>2011-12</c:v>
                </c:pt>
                <c:pt idx="4">
                  <c:v>2012-01</c:v>
                </c:pt>
                <c:pt idx="5">
                  <c:v>2012-02</c:v>
                </c:pt>
                <c:pt idx="6">
                  <c:v>2012-03</c:v>
                </c:pt>
                <c:pt idx="7">
                  <c:v>2012-04</c:v>
                </c:pt>
                <c:pt idx="8">
                  <c:v>2012-06</c:v>
                </c:pt>
                <c:pt idx="9">
                  <c:v>2012-07</c:v>
                </c:pt>
                <c:pt idx="10">
                  <c:v>2012-08</c:v>
                </c:pt>
                <c:pt idx="11">
                  <c:v>2012-09</c:v>
                </c:pt>
                <c:pt idx="12">
                  <c:v>2012-10</c:v>
                </c:pt>
                <c:pt idx="13">
                  <c:v>2012-11</c:v>
                </c:pt>
                <c:pt idx="14">
                  <c:v>2012-12</c:v>
                </c:pt>
                <c:pt idx="15">
                  <c:v>2013-01</c:v>
                </c:pt>
                <c:pt idx="16">
                  <c:v>2013-02</c:v>
                </c:pt>
                <c:pt idx="17">
                  <c:v>2013-03</c:v>
                </c:pt>
                <c:pt idx="18">
                  <c:v>2013-04</c:v>
                </c:pt>
                <c:pt idx="19">
                  <c:v>2013-05</c:v>
                </c:pt>
                <c:pt idx="20">
                  <c:v>2013-06</c:v>
                </c:pt>
                <c:pt idx="21">
                  <c:v>2013-07</c:v>
                </c:pt>
                <c:pt idx="22">
                  <c:v>2013-08</c:v>
                </c:pt>
                <c:pt idx="23">
                  <c:v>2013-09</c:v>
                </c:pt>
              </c:strCache>
            </c:strRef>
          </c:cat>
          <c:val>
            <c:numRef>
              <c:f>zbožáky!$B$62:$Y$62</c:f>
              <c:numCache>
                <c:formatCode>#,##0\ "Kč"</c:formatCode>
                <c:ptCount val="24"/>
                <c:pt idx="0">
                  <c:v>888372.10467142146</c:v>
                </c:pt>
                <c:pt idx="1">
                  <c:v>637314.1782860253</c:v>
                </c:pt>
                <c:pt idx="2">
                  <c:v>1257691.4462198319</c:v>
                </c:pt>
                <c:pt idx="3">
                  <c:v>952360.74049642251</c:v>
                </c:pt>
                <c:pt idx="4">
                  <c:v>989167.46147216379</c:v>
                </c:pt>
                <c:pt idx="5">
                  <c:v>1228994.7035048837</c:v>
                </c:pt>
                <c:pt idx="6">
                  <c:v>1171353.0226008878</c:v>
                </c:pt>
                <c:pt idx="7">
                  <c:v>1182778.3662365887</c:v>
                </c:pt>
                <c:pt idx="8">
                  <c:v>1295872.2239105501</c:v>
                </c:pt>
                <c:pt idx="9">
                  <c:v>986126.04394217918</c:v>
                </c:pt>
                <c:pt idx="10">
                  <c:v>880622.41913194163</c:v>
                </c:pt>
                <c:pt idx="11">
                  <c:v>553269.56807672256</c:v>
                </c:pt>
                <c:pt idx="12">
                  <c:v>505123.71742225689</c:v>
                </c:pt>
                <c:pt idx="13">
                  <c:v>895701.90022679069</c:v>
                </c:pt>
                <c:pt idx="14">
                  <c:v>950837.9546564942</c:v>
                </c:pt>
                <c:pt idx="15">
                  <c:v>1235363.6241924132</c:v>
                </c:pt>
                <c:pt idx="16">
                  <c:v>768342.31407965801</c:v>
                </c:pt>
                <c:pt idx="17">
                  <c:v>646511.61105718336</c:v>
                </c:pt>
                <c:pt idx="18">
                  <c:v>1042691.3198619959</c:v>
                </c:pt>
                <c:pt idx="19">
                  <c:v>775564.9728326099</c:v>
                </c:pt>
                <c:pt idx="20">
                  <c:v>840056.81063856999</c:v>
                </c:pt>
                <c:pt idx="21">
                  <c:v>1349593.5470665162</c:v>
                </c:pt>
                <c:pt idx="22">
                  <c:v>1547191.4295611673</c:v>
                </c:pt>
                <c:pt idx="23">
                  <c:v>789571.62226799037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'direct,ref,mm,rtb'!$A$48</c:f>
              <c:strCache>
                <c:ptCount val="1"/>
                <c:pt idx="0">
                  <c:v>direct - Obrat</c:v>
                </c:pt>
              </c:strCache>
            </c:strRef>
          </c:tx>
          <c:marker>
            <c:symbol val="none"/>
          </c:marker>
          <c:cat>
            <c:strRef>
              <c:f>organic!$B$59:$Y$59</c:f>
              <c:strCache>
                <c:ptCount val="24"/>
                <c:pt idx="0">
                  <c:v>2011-09</c:v>
                </c:pt>
                <c:pt idx="1">
                  <c:v>2011-10</c:v>
                </c:pt>
                <c:pt idx="2">
                  <c:v>2011-11</c:v>
                </c:pt>
                <c:pt idx="3">
                  <c:v>2011-12</c:v>
                </c:pt>
                <c:pt idx="4">
                  <c:v>2012-01</c:v>
                </c:pt>
                <c:pt idx="5">
                  <c:v>2012-02</c:v>
                </c:pt>
                <c:pt idx="6">
                  <c:v>2012-03</c:v>
                </c:pt>
                <c:pt idx="7">
                  <c:v>2012-04</c:v>
                </c:pt>
                <c:pt idx="8">
                  <c:v>2012-06</c:v>
                </c:pt>
                <c:pt idx="9">
                  <c:v>2012-07</c:v>
                </c:pt>
                <c:pt idx="10">
                  <c:v>2012-08</c:v>
                </c:pt>
                <c:pt idx="11">
                  <c:v>2012-09</c:v>
                </c:pt>
                <c:pt idx="12">
                  <c:v>2012-10</c:v>
                </c:pt>
                <c:pt idx="13">
                  <c:v>2012-11</c:v>
                </c:pt>
                <c:pt idx="14">
                  <c:v>2012-12</c:v>
                </c:pt>
                <c:pt idx="15">
                  <c:v>2013-01</c:v>
                </c:pt>
                <c:pt idx="16">
                  <c:v>2013-02</c:v>
                </c:pt>
                <c:pt idx="17">
                  <c:v>2013-03</c:v>
                </c:pt>
                <c:pt idx="18">
                  <c:v>2013-04</c:v>
                </c:pt>
                <c:pt idx="19">
                  <c:v>2013-05</c:v>
                </c:pt>
                <c:pt idx="20">
                  <c:v>2013-06</c:v>
                </c:pt>
                <c:pt idx="21">
                  <c:v>2013-07</c:v>
                </c:pt>
                <c:pt idx="22">
                  <c:v>2013-08</c:v>
                </c:pt>
                <c:pt idx="23">
                  <c:v>2013-09</c:v>
                </c:pt>
              </c:strCache>
            </c:strRef>
          </c:cat>
          <c:val>
            <c:numRef>
              <c:f>'direct,ref,mm,rtb'!$B$48:$Y$48</c:f>
              <c:numCache>
                <c:formatCode>#,##0\ "Kč"</c:formatCode>
                <c:ptCount val="24"/>
                <c:pt idx="0">
                  <c:v>847458.2593162047</c:v>
                </c:pt>
                <c:pt idx="1">
                  <c:v>1097963.6856911061</c:v>
                </c:pt>
                <c:pt idx="2">
                  <c:v>1530514.6527246123</c:v>
                </c:pt>
                <c:pt idx="3">
                  <c:v>1402372.09854566</c:v>
                </c:pt>
                <c:pt idx="4">
                  <c:v>1282931.2227661039</c:v>
                </c:pt>
                <c:pt idx="5">
                  <c:v>1551517.8641526366</c:v>
                </c:pt>
                <c:pt idx="6">
                  <c:v>1892207.5955319852</c:v>
                </c:pt>
                <c:pt idx="7">
                  <c:v>1646781.0057114449</c:v>
                </c:pt>
                <c:pt idx="8">
                  <c:v>1631867.1225628429</c:v>
                </c:pt>
                <c:pt idx="9">
                  <c:v>1552038.7658520038</c:v>
                </c:pt>
                <c:pt idx="10">
                  <c:v>1605412.9840606416</c:v>
                </c:pt>
                <c:pt idx="11">
                  <c:v>989773.30347744212</c:v>
                </c:pt>
                <c:pt idx="12">
                  <c:v>1403955.186517444</c:v>
                </c:pt>
                <c:pt idx="13">
                  <c:v>1747658.6191743675</c:v>
                </c:pt>
                <c:pt idx="14">
                  <c:v>1917909.9105812092</c:v>
                </c:pt>
                <c:pt idx="15">
                  <c:v>1143788.2150257111</c:v>
                </c:pt>
                <c:pt idx="16">
                  <c:v>1193783.9058953815</c:v>
                </c:pt>
                <c:pt idx="17">
                  <c:v>1430259.9836647462</c:v>
                </c:pt>
                <c:pt idx="18">
                  <c:v>1291373.2651184814</c:v>
                </c:pt>
                <c:pt idx="19">
                  <c:v>1017360.1608927326</c:v>
                </c:pt>
                <c:pt idx="20">
                  <c:v>1248265.3209859221</c:v>
                </c:pt>
                <c:pt idx="21">
                  <c:v>1956408.935106318</c:v>
                </c:pt>
                <c:pt idx="22">
                  <c:v>1705849.3370798277</c:v>
                </c:pt>
                <c:pt idx="23">
                  <c:v>1079425.1525568196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'direct,ref,mm,rtb'!$A$60</c:f>
              <c:strCache>
                <c:ptCount val="1"/>
                <c:pt idx="0">
                  <c:v>referral - Obrat</c:v>
                </c:pt>
              </c:strCache>
            </c:strRef>
          </c:tx>
          <c:marker>
            <c:symbol val="none"/>
          </c:marker>
          <c:cat>
            <c:strRef>
              <c:f>organic!$B$59:$Y$59</c:f>
              <c:strCache>
                <c:ptCount val="24"/>
                <c:pt idx="0">
                  <c:v>2011-09</c:v>
                </c:pt>
                <c:pt idx="1">
                  <c:v>2011-10</c:v>
                </c:pt>
                <c:pt idx="2">
                  <c:v>2011-11</c:v>
                </c:pt>
                <c:pt idx="3">
                  <c:v>2011-12</c:v>
                </c:pt>
                <c:pt idx="4">
                  <c:v>2012-01</c:v>
                </c:pt>
                <c:pt idx="5">
                  <c:v>2012-02</c:v>
                </c:pt>
                <c:pt idx="6">
                  <c:v>2012-03</c:v>
                </c:pt>
                <c:pt idx="7">
                  <c:v>2012-04</c:v>
                </c:pt>
                <c:pt idx="8">
                  <c:v>2012-06</c:v>
                </c:pt>
                <c:pt idx="9">
                  <c:v>2012-07</c:v>
                </c:pt>
                <c:pt idx="10">
                  <c:v>2012-08</c:v>
                </c:pt>
                <c:pt idx="11">
                  <c:v>2012-09</c:v>
                </c:pt>
                <c:pt idx="12">
                  <c:v>2012-10</c:v>
                </c:pt>
                <c:pt idx="13">
                  <c:v>2012-11</c:v>
                </c:pt>
                <c:pt idx="14">
                  <c:v>2012-12</c:v>
                </c:pt>
                <c:pt idx="15">
                  <c:v>2013-01</c:v>
                </c:pt>
                <c:pt idx="16">
                  <c:v>2013-02</c:v>
                </c:pt>
                <c:pt idx="17">
                  <c:v>2013-03</c:v>
                </c:pt>
                <c:pt idx="18">
                  <c:v>2013-04</c:v>
                </c:pt>
                <c:pt idx="19">
                  <c:v>2013-05</c:v>
                </c:pt>
                <c:pt idx="20">
                  <c:v>2013-06</c:v>
                </c:pt>
                <c:pt idx="21">
                  <c:v>2013-07</c:v>
                </c:pt>
                <c:pt idx="22">
                  <c:v>2013-08</c:v>
                </c:pt>
                <c:pt idx="23">
                  <c:v>2013-09</c:v>
                </c:pt>
              </c:strCache>
            </c:strRef>
          </c:cat>
          <c:val>
            <c:numRef>
              <c:f>'direct,ref,mm,rtb'!$B$60:$Y$60</c:f>
              <c:numCache>
                <c:formatCode>#,##0\ "Kč"</c:formatCode>
                <c:ptCount val="24"/>
                <c:pt idx="0">
                  <c:v>566162.74671145133</c:v>
                </c:pt>
                <c:pt idx="1">
                  <c:v>2192852.5224639755</c:v>
                </c:pt>
                <c:pt idx="2">
                  <c:v>885749.5230505194</c:v>
                </c:pt>
                <c:pt idx="3">
                  <c:v>901659.91060381464</c:v>
                </c:pt>
                <c:pt idx="4">
                  <c:v>586295.27770451561</c:v>
                </c:pt>
                <c:pt idx="5">
                  <c:v>427360.01812162617</c:v>
                </c:pt>
                <c:pt idx="6">
                  <c:v>1529313.1878204725</c:v>
                </c:pt>
                <c:pt idx="7">
                  <c:v>421456.21991841309</c:v>
                </c:pt>
                <c:pt idx="8">
                  <c:v>530240.84567406564</c:v>
                </c:pt>
                <c:pt idx="9">
                  <c:v>598849.37024227052</c:v>
                </c:pt>
                <c:pt idx="10">
                  <c:v>425919.30102656217</c:v>
                </c:pt>
                <c:pt idx="11">
                  <c:v>589392.39361071866</c:v>
                </c:pt>
                <c:pt idx="12">
                  <c:v>2775659.5749212289</c:v>
                </c:pt>
                <c:pt idx="13">
                  <c:v>511218.14458260383</c:v>
                </c:pt>
                <c:pt idx="14">
                  <c:v>719754.4396043903</c:v>
                </c:pt>
                <c:pt idx="15">
                  <c:v>520195.3887720647</c:v>
                </c:pt>
                <c:pt idx="16">
                  <c:v>416525.55654642894</c:v>
                </c:pt>
                <c:pt idx="17">
                  <c:v>1107369.5836454709</c:v>
                </c:pt>
                <c:pt idx="18">
                  <c:v>659841.81950346567</c:v>
                </c:pt>
                <c:pt idx="19">
                  <c:v>930667.5957094616</c:v>
                </c:pt>
                <c:pt idx="20">
                  <c:v>440137.49655331753</c:v>
                </c:pt>
                <c:pt idx="21">
                  <c:v>638038.34755116049</c:v>
                </c:pt>
                <c:pt idx="22">
                  <c:v>667548.28006341239</c:v>
                </c:pt>
                <c:pt idx="23">
                  <c:v>380685.35207889689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441856"/>
        <c:axId val="64712064"/>
      </c:lineChart>
      <c:catAx>
        <c:axId val="64441856"/>
        <c:scaling>
          <c:orientation val="minMax"/>
        </c:scaling>
        <c:delete val="0"/>
        <c:axPos val="b"/>
        <c:majorTickMark val="none"/>
        <c:minorTickMark val="none"/>
        <c:tickLblPos val="nextTo"/>
        <c:crossAx val="64712064"/>
        <c:crosses val="autoZero"/>
        <c:auto val="1"/>
        <c:lblAlgn val="ctr"/>
        <c:lblOffset val="100"/>
        <c:noMultiLvlLbl val="0"/>
      </c:catAx>
      <c:valAx>
        <c:axId val="64712064"/>
        <c:scaling>
          <c:orientation val="minMax"/>
        </c:scaling>
        <c:delete val="0"/>
        <c:axPos val="l"/>
        <c:majorGridlines/>
        <c:numFmt formatCode="#,##0\ &quot;Kč&quot;" sourceLinked="1"/>
        <c:majorTickMark val="none"/>
        <c:minorTickMark val="none"/>
        <c:tickLblPos val="nextTo"/>
        <c:crossAx val="6444185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paperSize="9"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Konverzní</a:t>
            </a:r>
            <a:r>
              <a:rPr lang="cs-CZ" baseline="0"/>
              <a:t> poměr</a:t>
            </a:r>
            <a:r>
              <a:rPr lang="cs-CZ"/>
              <a:t> podle </a:t>
            </a:r>
            <a:r>
              <a:rPr lang="cs-CZ" sz="1800" b="1" i="0" u="none" strike="noStrike" baseline="0">
                <a:effectLst/>
              </a:rPr>
              <a:t>kanálů</a:t>
            </a:r>
            <a:endParaRPr lang="cs-CZ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organic!$A$63</c:f>
              <c:strCache>
                <c:ptCount val="1"/>
                <c:pt idx="0">
                  <c:v>organic - KP</c:v>
                </c:pt>
              </c:strCache>
            </c:strRef>
          </c:tx>
          <c:marker>
            <c:symbol val="none"/>
          </c:marker>
          <c:cat>
            <c:strRef>
              <c:f>organic!$B$59:$Y$59</c:f>
              <c:strCache>
                <c:ptCount val="24"/>
                <c:pt idx="0">
                  <c:v>2011-09</c:v>
                </c:pt>
                <c:pt idx="1">
                  <c:v>2011-10</c:v>
                </c:pt>
                <c:pt idx="2">
                  <c:v>2011-11</c:v>
                </c:pt>
                <c:pt idx="3">
                  <c:v>2011-12</c:v>
                </c:pt>
                <c:pt idx="4">
                  <c:v>2012-01</c:v>
                </c:pt>
                <c:pt idx="5">
                  <c:v>2012-02</c:v>
                </c:pt>
                <c:pt idx="6">
                  <c:v>2012-03</c:v>
                </c:pt>
                <c:pt idx="7">
                  <c:v>2012-04</c:v>
                </c:pt>
                <c:pt idx="8">
                  <c:v>2012-06</c:v>
                </c:pt>
                <c:pt idx="9">
                  <c:v>2012-07</c:v>
                </c:pt>
                <c:pt idx="10">
                  <c:v>2012-08</c:v>
                </c:pt>
                <c:pt idx="11">
                  <c:v>2012-09</c:v>
                </c:pt>
                <c:pt idx="12">
                  <c:v>2012-10</c:v>
                </c:pt>
                <c:pt idx="13">
                  <c:v>2012-11</c:v>
                </c:pt>
                <c:pt idx="14">
                  <c:v>2012-12</c:v>
                </c:pt>
                <c:pt idx="15">
                  <c:v>2013-01</c:v>
                </c:pt>
                <c:pt idx="16">
                  <c:v>2013-02</c:v>
                </c:pt>
                <c:pt idx="17">
                  <c:v>2013-03</c:v>
                </c:pt>
                <c:pt idx="18">
                  <c:v>2013-04</c:v>
                </c:pt>
                <c:pt idx="19">
                  <c:v>2013-05</c:v>
                </c:pt>
                <c:pt idx="20">
                  <c:v>2013-06</c:v>
                </c:pt>
                <c:pt idx="21">
                  <c:v>2013-07</c:v>
                </c:pt>
                <c:pt idx="22">
                  <c:v>2013-08</c:v>
                </c:pt>
                <c:pt idx="23">
                  <c:v>2013-09</c:v>
                </c:pt>
              </c:strCache>
            </c:strRef>
          </c:cat>
          <c:val>
            <c:numRef>
              <c:f>organic!$B$63:$Y$63</c:f>
              <c:numCache>
                <c:formatCode>0.00%</c:formatCode>
                <c:ptCount val="24"/>
                <c:pt idx="0">
                  <c:v>1.3426304381102526E-2</c:v>
                </c:pt>
                <c:pt idx="1">
                  <c:v>1.1439916074664472E-2</c:v>
                </c:pt>
                <c:pt idx="2">
                  <c:v>3.0645036787049787E-2</c:v>
                </c:pt>
                <c:pt idx="3">
                  <c:v>2.2041954748704538E-2</c:v>
                </c:pt>
                <c:pt idx="4">
                  <c:v>1.8115153451974678E-2</c:v>
                </c:pt>
                <c:pt idx="5">
                  <c:v>1.1346549653021908E-2</c:v>
                </c:pt>
                <c:pt idx="6">
                  <c:v>1.6304654544788934E-2</c:v>
                </c:pt>
                <c:pt idx="7">
                  <c:v>8.3484525305843622E-3</c:v>
                </c:pt>
                <c:pt idx="8">
                  <c:v>1.7523879019714056E-2</c:v>
                </c:pt>
                <c:pt idx="9">
                  <c:v>1.0445905317356825E-2</c:v>
                </c:pt>
                <c:pt idx="10">
                  <c:v>2.5528559782195714E-2</c:v>
                </c:pt>
                <c:pt idx="11">
                  <c:v>1.3901476932044588E-2</c:v>
                </c:pt>
                <c:pt idx="12">
                  <c:v>1.2534345428844369E-2</c:v>
                </c:pt>
                <c:pt idx="13">
                  <c:v>1.3840860354089742E-2</c:v>
                </c:pt>
                <c:pt idx="14">
                  <c:v>1.4801374605444135E-2</c:v>
                </c:pt>
                <c:pt idx="15">
                  <c:v>1.1252752854152474E-2</c:v>
                </c:pt>
                <c:pt idx="16">
                  <c:v>9.9013887437394005E-3</c:v>
                </c:pt>
                <c:pt idx="17">
                  <c:v>1.7773820388710719E-2</c:v>
                </c:pt>
                <c:pt idx="18">
                  <c:v>2.6636056018119646E-2</c:v>
                </c:pt>
                <c:pt idx="19">
                  <c:v>1.0614524433639121E-2</c:v>
                </c:pt>
                <c:pt idx="20">
                  <c:v>1.5617243266511554E-2</c:v>
                </c:pt>
                <c:pt idx="21">
                  <c:v>2.722420566502155E-2</c:v>
                </c:pt>
                <c:pt idx="22">
                  <c:v>1.5542952136608137E-2</c:v>
                </c:pt>
                <c:pt idx="23">
                  <c:v>1.7422749141242321E-2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cpc!$A$63</c:f>
              <c:strCache>
                <c:ptCount val="1"/>
                <c:pt idx="0">
                  <c:v>cpc - KP</c:v>
                </c:pt>
              </c:strCache>
            </c:strRef>
          </c:tx>
          <c:marker>
            <c:symbol val="none"/>
          </c:marker>
          <c:cat>
            <c:strRef>
              <c:f>organic!$B$59:$Y$59</c:f>
              <c:strCache>
                <c:ptCount val="24"/>
                <c:pt idx="0">
                  <c:v>2011-09</c:v>
                </c:pt>
                <c:pt idx="1">
                  <c:v>2011-10</c:v>
                </c:pt>
                <c:pt idx="2">
                  <c:v>2011-11</c:v>
                </c:pt>
                <c:pt idx="3">
                  <c:v>2011-12</c:v>
                </c:pt>
                <c:pt idx="4">
                  <c:v>2012-01</c:v>
                </c:pt>
                <c:pt idx="5">
                  <c:v>2012-02</c:v>
                </c:pt>
                <c:pt idx="6">
                  <c:v>2012-03</c:v>
                </c:pt>
                <c:pt idx="7">
                  <c:v>2012-04</c:v>
                </c:pt>
                <c:pt idx="8">
                  <c:v>2012-06</c:v>
                </c:pt>
                <c:pt idx="9">
                  <c:v>2012-07</c:v>
                </c:pt>
                <c:pt idx="10">
                  <c:v>2012-08</c:v>
                </c:pt>
                <c:pt idx="11">
                  <c:v>2012-09</c:v>
                </c:pt>
                <c:pt idx="12">
                  <c:v>2012-10</c:v>
                </c:pt>
                <c:pt idx="13">
                  <c:v>2012-11</c:v>
                </c:pt>
                <c:pt idx="14">
                  <c:v>2012-12</c:v>
                </c:pt>
                <c:pt idx="15">
                  <c:v>2013-01</c:v>
                </c:pt>
                <c:pt idx="16">
                  <c:v>2013-02</c:v>
                </c:pt>
                <c:pt idx="17">
                  <c:v>2013-03</c:v>
                </c:pt>
                <c:pt idx="18">
                  <c:v>2013-04</c:v>
                </c:pt>
                <c:pt idx="19">
                  <c:v>2013-05</c:v>
                </c:pt>
                <c:pt idx="20">
                  <c:v>2013-06</c:v>
                </c:pt>
                <c:pt idx="21">
                  <c:v>2013-07</c:v>
                </c:pt>
                <c:pt idx="22">
                  <c:v>2013-08</c:v>
                </c:pt>
                <c:pt idx="23">
                  <c:v>2013-09</c:v>
                </c:pt>
              </c:strCache>
            </c:strRef>
          </c:cat>
          <c:val>
            <c:numRef>
              <c:f>cpc!$B$63:$Y$63</c:f>
              <c:numCache>
                <c:formatCode>0.00%</c:formatCode>
                <c:ptCount val="24"/>
                <c:pt idx="0">
                  <c:v>1.5149985328460272E-2</c:v>
                </c:pt>
                <c:pt idx="1">
                  <c:v>1.1244521840237564E-2</c:v>
                </c:pt>
                <c:pt idx="2">
                  <c:v>1.179574112207094E-2</c:v>
                </c:pt>
                <c:pt idx="3">
                  <c:v>2.3270652000227925E-2</c:v>
                </c:pt>
                <c:pt idx="4">
                  <c:v>2.0426007277820946E-2</c:v>
                </c:pt>
                <c:pt idx="5">
                  <c:v>1.2995434203378774E-2</c:v>
                </c:pt>
                <c:pt idx="6">
                  <c:v>8.8662834008418172E-3</c:v>
                </c:pt>
                <c:pt idx="7">
                  <c:v>1.4383656801299896E-2</c:v>
                </c:pt>
                <c:pt idx="8">
                  <c:v>1.728639438640411E-2</c:v>
                </c:pt>
                <c:pt idx="9">
                  <c:v>2.5168516514367995E-2</c:v>
                </c:pt>
                <c:pt idx="10">
                  <c:v>1.2956474308453324E-2</c:v>
                </c:pt>
                <c:pt idx="11">
                  <c:v>8.6393118763591122E-3</c:v>
                </c:pt>
                <c:pt idx="12">
                  <c:v>1.4561899741010334E-2</c:v>
                </c:pt>
                <c:pt idx="13">
                  <c:v>3.1424607050461156E-2</c:v>
                </c:pt>
                <c:pt idx="14">
                  <c:v>3.3641553222387835E-2</c:v>
                </c:pt>
                <c:pt idx="15">
                  <c:v>2.6140628879225049E-2</c:v>
                </c:pt>
                <c:pt idx="16">
                  <c:v>2.5762327970739549E-2</c:v>
                </c:pt>
                <c:pt idx="17">
                  <c:v>1.7650960402371286E-2</c:v>
                </c:pt>
                <c:pt idx="18">
                  <c:v>9.1646116388779571E-3</c:v>
                </c:pt>
                <c:pt idx="19">
                  <c:v>1.1934113186229915E-2</c:v>
                </c:pt>
                <c:pt idx="20">
                  <c:v>1.7072764783866785E-2</c:v>
                </c:pt>
                <c:pt idx="21">
                  <c:v>1.2216851235665375E-2</c:v>
                </c:pt>
                <c:pt idx="22">
                  <c:v>7.5323979571923876E-3</c:v>
                </c:pt>
                <c:pt idx="23">
                  <c:v>1.2963592160037571E-2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zbožáky!$A$63</c:f>
              <c:strCache>
                <c:ptCount val="1"/>
                <c:pt idx="0">
                  <c:v>zbožáky - KP</c:v>
                </c:pt>
              </c:strCache>
            </c:strRef>
          </c:tx>
          <c:marker>
            <c:symbol val="none"/>
          </c:marker>
          <c:cat>
            <c:strRef>
              <c:f>organic!$B$59:$Y$59</c:f>
              <c:strCache>
                <c:ptCount val="24"/>
                <c:pt idx="0">
                  <c:v>2011-09</c:v>
                </c:pt>
                <c:pt idx="1">
                  <c:v>2011-10</c:v>
                </c:pt>
                <c:pt idx="2">
                  <c:v>2011-11</c:v>
                </c:pt>
                <c:pt idx="3">
                  <c:v>2011-12</c:v>
                </c:pt>
                <c:pt idx="4">
                  <c:v>2012-01</c:v>
                </c:pt>
                <c:pt idx="5">
                  <c:v>2012-02</c:v>
                </c:pt>
                <c:pt idx="6">
                  <c:v>2012-03</c:v>
                </c:pt>
                <c:pt idx="7">
                  <c:v>2012-04</c:v>
                </c:pt>
                <c:pt idx="8">
                  <c:v>2012-06</c:v>
                </c:pt>
                <c:pt idx="9">
                  <c:v>2012-07</c:v>
                </c:pt>
                <c:pt idx="10">
                  <c:v>2012-08</c:v>
                </c:pt>
                <c:pt idx="11">
                  <c:v>2012-09</c:v>
                </c:pt>
                <c:pt idx="12">
                  <c:v>2012-10</c:v>
                </c:pt>
                <c:pt idx="13">
                  <c:v>2012-11</c:v>
                </c:pt>
                <c:pt idx="14">
                  <c:v>2012-12</c:v>
                </c:pt>
                <c:pt idx="15">
                  <c:v>2013-01</c:v>
                </c:pt>
                <c:pt idx="16">
                  <c:v>2013-02</c:v>
                </c:pt>
                <c:pt idx="17">
                  <c:v>2013-03</c:v>
                </c:pt>
                <c:pt idx="18">
                  <c:v>2013-04</c:v>
                </c:pt>
                <c:pt idx="19">
                  <c:v>2013-05</c:v>
                </c:pt>
                <c:pt idx="20">
                  <c:v>2013-06</c:v>
                </c:pt>
                <c:pt idx="21">
                  <c:v>2013-07</c:v>
                </c:pt>
                <c:pt idx="22">
                  <c:v>2013-08</c:v>
                </c:pt>
                <c:pt idx="23">
                  <c:v>2013-09</c:v>
                </c:pt>
              </c:strCache>
            </c:strRef>
          </c:cat>
          <c:val>
            <c:numRef>
              <c:f>zbožáky!$B$63:$Y$63</c:f>
              <c:numCache>
                <c:formatCode>0.00%</c:formatCode>
                <c:ptCount val="24"/>
                <c:pt idx="0">
                  <c:v>3.0297651947553877E-2</c:v>
                </c:pt>
                <c:pt idx="1">
                  <c:v>3.244332530494063E-2</c:v>
                </c:pt>
                <c:pt idx="2">
                  <c:v>4.2482926010565088E-2</c:v>
                </c:pt>
                <c:pt idx="3">
                  <c:v>6.0163475653881034E-2</c:v>
                </c:pt>
                <c:pt idx="4">
                  <c:v>3.4049228967331799E-2</c:v>
                </c:pt>
                <c:pt idx="5">
                  <c:v>1.6990345029254551E-2</c:v>
                </c:pt>
                <c:pt idx="6">
                  <c:v>2.3183905753181105E-2</c:v>
                </c:pt>
                <c:pt idx="7">
                  <c:v>2.7604908579646932E-2</c:v>
                </c:pt>
                <c:pt idx="8">
                  <c:v>4.8367124348817042E-2</c:v>
                </c:pt>
                <c:pt idx="9">
                  <c:v>2.9136945404083996E-2</c:v>
                </c:pt>
                <c:pt idx="10">
                  <c:v>3.3375356866935366E-2</c:v>
                </c:pt>
                <c:pt idx="11">
                  <c:v>3.2256967969925006E-2</c:v>
                </c:pt>
                <c:pt idx="12">
                  <c:v>2.399435537051282E-2</c:v>
                </c:pt>
                <c:pt idx="13">
                  <c:v>3.1310253509511936E-2</c:v>
                </c:pt>
                <c:pt idx="14">
                  <c:v>4.7287304159968374E-2</c:v>
                </c:pt>
                <c:pt idx="15">
                  <c:v>2.6340695022357023E-2</c:v>
                </c:pt>
                <c:pt idx="16">
                  <c:v>3.3938366340331635E-2</c:v>
                </c:pt>
                <c:pt idx="17">
                  <c:v>3.2087930128056427E-2</c:v>
                </c:pt>
                <c:pt idx="18">
                  <c:v>2.5843018785944565E-2</c:v>
                </c:pt>
                <c:pt idx="19">
                  <c:v>3.3642766731273886E-2</c:v>
                </c:pt>
                <c:pt idx="20">
                  <c:v>3.72134598888961E-2</c:v>
                </c:pt>
                <c:pt idx="21">
                  <c:v>8.4291972608165636E-2</c:v>
                </c:pt>
                <c:pt idx="22">
                  <c:v>6.0208941123657538E-2</c:v>
                </c:pt>
                <c:pt idx="23">
                  <c:v>3.1192470102518684E-2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'direct,ref,mm,rtb'!$A$49</c:f>
              <c:strCache>
                <c:ptCount val="1"/>
                <c:pt idx="0">
                  <c:v>direct - KP</c:v>
                </c:pt>
              </c:strCache>
            </c:strRef>
          </c:tx>
          <c:marker>
            <c:symbol val="none"/>
          </c:marker>
          <c:cat>
            <c:strRef>
              <c:f>organic!$B$59:$Y$59</c:f>
              <c:strCache>
                <c:ptCount val="24"/>
                <c:pt idx="0">
                  <c:v>2011-09</c:v>
                </c:pt>
                <c:pt idx="1">
                  <c:v>2011-10</c:v>
                </c:pt>
                <c:pt idx="2">
                  <c:v>2011-11</c:v>
                </c:pt>
                <c:pt idx="3">
                  <c:v>2011-12</c:v>
                </c:pt>
                <c:pt idx="4">
                  <c:v>2012-01</c:v>
                </c:pt>
                <c:pt idx="5">
                  <c:v>2012-02</c:v>
                </c:pt>
                <c:pt idx="6">
                  <c:v>2012-03</c:v>
                </c:pt>
                <c:pt idx="7">
                  <c:v>2012-04</c:v>
                </c:pt>
                <c:pt idx="8">
                  <c:v>2012-06</c:v>
                </c:pt>
                <c:pt idx="9">
                  <c:v>2012-07</c:v>
                </c:pt>
                <c:pt idx="10">
                  <c:v>2012-08</c:v>
                </c:pt>
                <c:pt idx="11">
                  <c:v>2012-09</c:v>
                </c:pt>
                <c:pt idx="12">
                  <c:v>2012-10</c:v>
                </c:pt>
                <c:pt idx="13">
                  <c:v>2012-11</c:v>
                </c:pt>
                <c:pt idx="14">
                  <c:v>2012-12</c:v>
                </c:pt>
                <c:pt idx="15">
                  <c:v>2013-01</c:v>
                </c:pt>
                <c:pt idx="16">
                  <c:v>2013-02</c:v>
                </c:pt>
                <c:pt idx="17">
                  <c:v>2013-03</c:v>
                </c:pt>
                <c:pt idx="18">
                  <c:v>2013-04</c:v>
                </c:pt>
                <c:pt idx="19">
                  <c:v>2013-05</c:v>
                </c:pt>
                <c:pt idx="20">
                  <c:v>2013-06</c:v>
                </c:pt>
                <c:pt idx="21">
                  <c:v>2013-07</c:v>
                </c:pt>
                <c:pt idx="22">
                  <c:v>2013-08</c:v>
                </c:pt>
                <c:pt idx="23">
                  <c:v>2013-09</c:v>
                </c:pt>
              </c:strCache>
            </c:strRef>
          </c:cat>
          <c:val>
            <c:numRef>
              <c:f>'direct,ref,mm,rtb'!$B$49:$Y$49</c:f>
              <c:numCache>
                <c:formatCode>0.00%</c:formatCode>
                <c:ptCount val="24"/>
                <c:pt idx="0">
                  <c:v>2.1351101792924657E-2</c:v>
                </c:pt>
                <c:pt idx="1">
                  <c:v>3.2735123887687706E-2</c:v>
                </c:pt>
                <c:pt idx="2">
                  <c:v>3.9682612466160345E-2</c:v>
                </c:pt>
                <c:pt idx="3">
                  <c:v>2.4912094431730831E-2</c:v>
                </c:pt>
                <c:pt idx="4">
                  <c:v>3.0669683140311575E-2</c:v>
                </c:pt>
                <c:pt idx="5">
                  <c:v>2.2231849700719845E-2</c:v>
                </c:pt>
                <c:pt idx="6">
                  <c:v>1.6119569059340495E-2</c:v>
                </c:pt>
                <c:pt idx="7">
                  <c:v>3.2628602043170106E-2</c:v>
                </c:pt>
                <c:pt idx="8">
                  <c:v>2.1313413184112454E-2</c:v>
                </c:pt>
                <c:pt idx="9">
                  <c:v>2.4122902738322689E-2</c:v>
                </c:pt>
                <c:pt idx="10">
                  <c:v>1.7380522545000832E-2</c:v>
                </c:pt>
                <c:pt idx="11">
                  <c:v>1.7739525899717026E-2</c:v>
                </c:pt>
                <c:pt idx="12">
                  <c:v>2.5888681689973839E-2</c:v>
                </c:pt>
                <c:pt idx="13">
                  <c:v>1.2744660784028958E-2</c:v>
                </c:pt>
                <c:pt idx="14">
                  <c:v>2.4027732434573495E-2</c:v>
                </c:pt>
                <c:pt idx="15">
                  <c:v>1.9873624384057886E-2</c:v>
                </c:pt>
                <c:pt idx="16">
                  <c:v>4.0959225943895922E-2</c:v>
                </c:pt>
                <c:pt idx="17">
                  <c:v>1.4397420124688023E-2</c:v>
                </c:pt>
                <c:pt idx="18">
                  <c:v>2.1820455262183944E-2</c:v>
                </c:pt>
                <c:pt idx="19">
                  <c:v>3.4210354763713959E-2</c:v>
                </c:pt>
                <c:pt idx="20">
                  <c:v>1.3818866760068464E-2</c:v>
                </c:pt>
                <c:pt idx="21">
                  <c:v>1.6357970885684216E-2</c:v>
                </c:pt>
                <c:pt idx="22">
                  <c:v>1.2235266245474592E-2</c:v>
                </c:pt>
                <c:pt idx="23">
                  <c:v>2.3872917780703558E-2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'direct,ref,mm,rtb'!$A$61</c:f>
              <c:strCache>
                <c:ptCount val="1"/>
                <c:pt idx="0">
                  <c:v>referral - KP</c:v>
                </c:pt>
              </c:strCache>
            </c:strRef>
          </c:tx>
          <c:marker>
            <c:symbol val="none"/>
          </c:marker>
          <c:cat>
            <c:strRef>
              <c:f>organic!$B$59:$Y$59</c:f>
              <c:strCache>
                <c:ptCount val="24"/>
                <c:pt idx="0">
                  <c:v>2011-09</c:v>
                </c:pt>
                <c:pt idx="1">
                  <c:v>2011-10</c:v>
                </c:pt>
                <c:pt idx="2">
                  <c:v>2011-11</c:v>
                </c:pt>
                <c:pt idx="3">
                  <c:v>2011-12</c:v>
                </c:pt>
                <c:pt idx="4">
                  <c:v>2012-01</c:v>
                </c:pt>
                <c:pt idx="5">
                  <c:v>2012-02</c:v>
                </c:pt>
                <c:pt idx="6">
                  <c:v>2012-03</c:v>
                </c:pt>
                <c:pt idx="7">
                  <c:v>2012-04</c:v>
                </c:pt>
                <c:pt idx="8">
                  <c:v>2012-06</c:v>
                </c:pt>
                <c:pt idx="9">
                  <c:v>2012-07</c:v>
                </c:pt>
                <c:pt idx="10">
                  <c:v>2012-08</c:v>
                </c:pt>
                <c:pt idx="11">
                  <c:v>2012-09</c:v>
                </c:pt>
                <c:pt idx="12">
                  <c:v>2012-10</c:v>
                </c:pt>
                <c:pt idx="13">
                  <c:v>2012-11</c:v>
                </c:pt>
                <c:pt idx="14">
                  <c:v>2012-12</c:v>
                </c:pt>
                <c:pt idx="15">
                  <c:v>2013-01</c:v>
                </c:pt>
                <c:pt idx="16">
                  <c:v>2013-02</c:v>
                </c:pt>
                <c:pt idx="17">
                  <c:v>2013-03</c:v>
                </c:pt>
                <c:pt idx="18">
                  <c:v>2013-04</c:v>
                </c:pt>
                <c:pt idx="19">
                  <c:v>2013-05</c:v>
                </c:pt>
                <c:pt idx="20">
                  <c:v>2013-06</c:v>
                </c:pt>
                <c:pt idx="21">
                  <c:v>2013-07</c:v>
                </c:pt>
                <c:pt idx="22">
                  <c:v>2013-08</c:v>
                </c:pt>
                <c:pt idx="23">
                  <c:v>2013-09</c:v>
                </c:pt>
              </c:strCache>
            </c:strRef>
          </c:cat>
          <c:val>
            <c:numRef>
              <c:f>'direct,ref,mm,rtb'!$B$61:$Y$61</c:f>
              <c:numCache>
                <c:formatCode>0.00%</c:formatCode>
                <c:ptCount val="24"/>
                <c:pt idx="0">
                  <c:v>8.560112178854341E-3</c:v>
                </c:pt>
                <c:pt idx="1">
                  <c:v>2.8570324392169204E-2</c:v>
                </c:pt>
                <c:pt idx="2">
                  <c:v>1.7657440489935332E-2</c:v>
                </c:pt>
                <c:pt idx="3">
                  <c:v>1.0241677751889755E-2</c:v>
                </c:pt>
                <c:pt idx="4">
                  <c:v>4.9116254869052134E-3</c:v>
                </c:pt>
                <c:pt idx="5">
                  <c:v>9.3376673870117725E-3</c:v>
                </c:pt>
                <c:pt idx="6">
                  <c:v>1.3075127553333307E-2</c:v>
                </c:pt>
                <c:pt idx="7">
                  <c:v>1.0160170726105568E-2</c:v>
                </c:pt>
                <c:pt idx="8">
                  <c:v>8.8876583848405931E-3</c:v>
                </c:pt>
                <c:pt idx="9">
                  <c:v>1.6515703237174776E-2</c:v>
                </c:pt>
                <c:pt idx="10">
                  <c:v>1.9917388388077814E-2</c:v>
                </c:pt>
                <c:pt idx="11">
                  <c:v>9.8584147504420013E-3</c:v>
                </c:pt>
                <c:pt idx="12">
                  <c:v>3.0740788585353836E-2</c:v>
                </c:pt>
                <c:pt idx="13">
                  <c:v>1.4416755988408404E-2</c:v>
                </c:pt>
                <c:pt idx="14">
                  <c:v>1.0004695878310434E-2</c:v>
                </c:pt>
                <c:pt idx="15">
                  <c:v>7.00044897425955E-3</c:v>
                </c:pt>
                <c:pt idx="16">
                  <c:v>1.2475923425834107E-2</c:v>
                </c:pt>
                <c:pt idx="17">
                  <c:v>2.1795343679157048E-2</c:v>
                </c:pt>
                <c:pt idx="18">
                  <c:v>1.2345118121578303E-2</c:v>
                </c:pt>
                <c:pt idx="19">
                  <c:v>1.7027218452339943E-2</c:v>
                </c:pt>
                <c:pt idx="20">
                  <c:v>1.8451534179812115E-2</c:v>
                </c:pt>
                <c:pt idx="21">
                  <c:v>9.6225525294558675E-3</c:v>
                </c:pt>
                <c:pt idx="22">
                  <c:v>1.7947715934453986E-2</c:v>
                </c:pt>
                <c:pt idx="23">
                  <c:v>8.3956848598793123E-3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861888"/>
        <c:axId val="64714368"/>
      </c:lineChart>
      <c:catAx>
        <c:axId val="133861888"/>
        <c:scaling>
          <c:orientation val="minMax"/>
        </c:scaling>
        <c:delete val="0"/>
        <c:axPos val="b"/>
        <c:majorTickMark val="none"/>
        <c:minorTickMark val="none"/>
        <c:tickLblPos val="nextTo"/>
        <c:crossAx val="64714368"/>
        <c:crosses val="autoZero"/>
        <c:auto val="1"/>
        <c:lblAlgn val="ctr"/>
        <c:lblOffset val="100"/>
        <c:noMultiLvlLbl val="0"/>
      </c:catAx>
      <c:valAx>
        <c:axId val="64714368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3386188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5" Type="http://schemas.openxmlformats.org/officeDocument/2006/relationships/chart" Target="../charts/chart21.xml"/><Relationship Id="rId4" Type="http://schemas.openxmlformats.org/officeDocument/2006/relationships/chart" Target="../charts/chart20.xml"/><Relationship Id="rId9" Type="http://schemas.openxmlformats.org/officeDocument/2006/relationships/chart" Target="../charts/chart25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3.xml"/><Relationship Id="rId3" Type="http://schemas.openxmlformats.org/officeDocument/2006/relationships/chart" Target="../charts/chart28.xml"/><Relationship Id="rId7" Type="http://schemas.openxmlformats.org/officeDocument/2006/relationships/chart" Target="../charts/chart32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6" Type="http://schemas.openxmlformats.org/officeDocument/2006/relationships/chart" Target="../charts/chart31.xml"/><Relationship Id="rId5" Type="http://schemas.openxmlformats.org/officeDocument/2006/relationships/chart" Target="../charts/chart30.xml"/><Relationship Id="rId4" Type="http://schemas.openxmlformats.org/officeDocument/2006/relationships/chart" Target="../charts/chart29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1.xml"/><Relationship Id="rId13" Type="http://schemas.openxmlformats.org/officeDocument/2006/relationships/chart" Target="../charts/chart46.xml"/><Relationship Id="rId3" Type="http://schemas.openxmlformats.org/officeDocument/2006/relationships/chart" Target="../charts/chart36.xml"/><Relationship Id="rId7" Type="http://schemas.openxmlformats.org/officeDocument/2006/relationships/chart" Target="../charts/chart40.xml"/><Relationship Id="rId12" Type="http://schemas.openxmlformats.org/officeDocument/2006/relationships/chart" Target="../charts/chart45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Relationship Id="rId6" Type="http://schemas.openxmlformats.org/officeDocument/2006/relationships/chart" Target="../charts/chart39.xml"/><Relationship Id="rId11" Type="http://schemas.openxmlformats.org/officeDocument/2006/relationships/chart" Target="../charts/chart44.xml"/><Relationship Id="rId5" Type="http://schemas.openxmlformats.org/officeDocument/2006/relationships/chart" Target="../charts/chart38.xml"/><Relationship Id="rId10" Type="http://schemas.openxmlformats.org/officeDocument/2006/relationships/chart" Target="../charts/chart43.xml"/><Relationship Id="rId4" Type="http://schemas.openxmlformats.org/officeDocument/2006/relationships/chart" Target="../charts/chart37.xml"/><Relationship Id="rId9" Type="http://schemas.openxmlformats.org/officeDocument/2006/relationships/chart" Target="../charts/chart42.xml"/><Relationship Id="rId14" Type="http://schemas.openxmlformats.org/officeDocument/2006/relationships/chart" Target="../charts/chart4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19048</xdr:colOff>
      <xdr:row>32</xdr:row>
      <xdr:rowOff>57152</xdr:rowOff>
    </xdr:from>
    <xdr:to>
      <xdr:col>3</xdr:col>
      <xdr:colOff>704850</xdr:colOff>
      <xdr:row>48</xdr:row>
      <xdr:rowOff>161926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742949</xdr:colOff>
      <xdr:row>32</xdr:row>
      <xdr:rowOff>57151</xdr:rowOff>
    </xdr:from>
    <xdr:to>
      <xdr:col>7</xdr:col>
      <xdr:colOff>457200</xdr:colOff>
      <xdr:row>48</xdr:row>
      <xdr:rowOff>161925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49</xdr:row>
      <xdr:rowOff>0</xdr:rowOff>
    </xdr:from>
    <xdr:to>
      <xdr:col>3</xdr:col>
      <xdr:colOff>695325</xdr:colOff>
      <xdr:row>64</xdr:row>
      <xdr:rowOff>171450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742951</xdr:colOff>
      <xdr:row>48</xdr:row>
      <xdr:rowOff>180975</xdr:rowOff>
    </xdr:from>
    <xdr:to>
      <xdr:col>7</xdr:col>
      <xdr:colOff>457201</xdr:colOff>
      <xdr:row>64</xdr:row>
      <xdr:rowOff>161925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10</xdr:col>
      <xdr:colOff>733425</xdr:colOff>
      <xdr:row>16</xdr:row>
      <xdr:rowOff>47625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16852</xdr:colOff>
      <xdr:row>16</xdr:row>
      <xdr:rowOff>40298</xdr:rowOff>
    </xdr:from>
    <xdr:to>
      <xdr:col>10</xdr:col>
      <xdr:colOff>731227</xdr:colOff>
      <xdr:row>32</xdr:row>
      <xdr:rowOff>164123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19048</xdr:colOff>
      <xdr:row>0</xdr:row>
      <xdr:rowOff>28575</xdr:rowOff>
    </xdr:from>
    <xdr:to>
      <xdr:col>21</xdr:col>
      <xdr:colOff>733425</xdr:colOff>
      <xdr:row>23</xdr:row>
      <xdr:rowOff>38100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28575</xdr:colOff>
      <xdr:row>0</xdr:row>
      <xdr:rowOff>28575</xdr:rowOff>
    </xdr:from>
    <xdr:to>
      <xdr:col>34</xdr:col>
      <xdr:colOff>381002</xdr:colOff>
      <xdr:row>23</xdr:row>
      <xdr:rowOff>38100</xdr:rowOff>
    </xdr:to>
    <xdr:graphicFrame macro="">
      <xdr:nvGraphicFramePr>
        <xdr:cNvPr id="10" name="Graf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35</xdr:col>
      <xdr:colOff>38100</xdr:colOff>
      <xdr:row>0</xdr:row>
      <xdr:rowOff>28575</xdr:rowOff>
    </xdr:from>
    <xdr:to>
      <xdr:col>48</xdr:col>
      <xdr:colOff>352427</xdr:colOff>
      <xdr:row>23</xdr:row>
      <xdr:rowOff>38100</xdr:rowOff>
    </xdr:to>
    <xdr:graphicFrame macro="">
      <xdr:nvGraphicFramePr>
        <xdr:cNvPr id="11" name="Graf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35</xdr:col>
      <xdr:colOff>38100</xdr:colOff>
      <xdr:row>23</xdr:row>
      <xdr:rowOff>57150</xdr:rowOff>
    </xdr:from>
    <xdr:to>
      <xdr:col>48</xdr:col>
      <xdr:colOff>352427</xdr:colOff>
      <xdr:row>46</xdr:row>
      <xdr:rowOff>66675</xdr:rowOff>
    </xdr:to>
    <xdr:graphicFrame macro="">
      <xdr:nvGraphicFramePr>
        <xdr:cNvPr id="8" name="Graf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9</xdr:col>
      <xdr:colOff>733425</xdr:colOff>
      <xdr:row>16</xdr:row>
      <xdr:rowOff>47625</xdr:rowOff>
    </xdr:to>
    <xdr:graphicFrame macro="">
      <xdr:nvGraphicFramePr>
        <xdr:cNvPr id="8" name="Graf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16</xdr:row>
      <xdr:rowOff>57149</xdr:rowOff>
    </xdr:from>
    <xdr:to>
      <xdr:col>9</xdr:col>
      <xdr:colOff>733425</xdr:colOff>
      <xdr:row>32</xdr:row>
      <xdr:rowOff>161925</xdr:rowOff>
    </xdr:to>
    <xdr:graphicFrame macro="">
      <xdr:nvGraphicFramePr>
        <xdr:cNvPr id="9" name="Graf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28575</xdr:colOff>
      <xdr:row>0</xdr:row>
      <xdr:rowOff>28575</xdr:rowOff>
    </xdr:from>
    <xdr:to>
      <xdr:col>20</xdr:col>
      <xdr:colOff>714375</xdr:colOff>
      <xdr:row>16</xdr:row>
      <xdr:rowOff>47625</xdr:rowOff>
    </xdr:to>
    <xdr:graphicFrame macro="">
      <xdr:nvGraphicFramePr>
        <xdr:cNvPr id="10" name="Graf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28575</xdr:colOff>
      <xdr:row>16</xdr:row>
      <xdr:rowOff>57149</xdr:rowOff>
    </xdr:from>
    <xdr:to>
      <xdr:col>20</xdr:col>
      <xdr:colOff>714375</xdr:colOff>
      <xdr:row>32</xdr:row>
      <xdr:rowOff>161924</xdr:rowOff>
    </xdr:to>
    <xdr:graphicFrame macro="">
      <xdr:nvGraphicFramePr>
        <xdr:cNvPr id="11" name="Graf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19050</xdr:colOff>
      <xdr:row>33</xdr:row>
      <xdr:rowOff>19050</xdr:rowOff>
    </xdr:from>
    <xdr:to>
      <xdr:col>20</xdr:col>
      <xdr:colOff>704850</xdr:colOff>
      <xdr:row>49</xdr:row>
      <xdr:rowOff>38100</xdr:rowOff>
    </xdr:to>
    <xdr:graphicFrame macro="">
      <xdr:nvGraphicFramePr>
        <xdr:cNvPr id="12" name="Graf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28575</xdr:colOff>
      <xdr:row>49</xdr:row>
      <xdr:rowOff>66674</xdr:rowOff>
    </xdr:from>
    <xdr:to>
      <xdr:col>20</xdr:col>
      <xdr:colOff>714375</xdr:colOff>
      <xdr:row>56</xdr:row>
      <xdr:rowOff>2114549</xdr:rowOff>
    </xdr:to>
    <xdr:graphicFrame macro="">
      <xdr:nvGraphicFramePr>
        <xdr:cNvPr id="13" name="Graf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9</xdr:col>
      <xdr:colOff>733425</xdr:colOff>
      <xdr:row>16</xdr:row>
      <xdr:rowOff>47625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16</xdr:row>
      <xdr:rowOff>57149</xdr:rowOff>
    </xdr:from>
    <xdr:to>
      <xdr:col>9</xdr:col>
      <xdr:colOff>733425</xdr:colOff>
      <xdr:row>32</xdr:row>
      <xdr:rowOff>161925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28575</xdr:colOff>
      <xdr:row>0</xdr:row>
      <xdr:rowOff>28575</xdr:rowOff>
    </xdr:from>
    <xdr:to>
      <xdr:col>20</xdr:col>
      <xdr:colOff>714375</xdr:colOff>
      <xdr:row>16</xdr:row>
      <xdr:rowOff>47625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28575</xdr:colOff>
      <xdr:row>16</xdr:row>
      <xdr:rowOff>57149</xdr:rowOff>
    </xdr:from>
    <xdr:to>
      <xdr:col>20</xdr:col>
      <xdr:colOff>714375</xdr:colOff>
      <xdr:row>32</xdr:row>
      <xdr:rowOff>161924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19050</xdr:colOff>
      <xdr:row>33</xdr:row>
      <xdr:rowOff>19049</xdr:rowOff>
    </xdr:from>
    <xdr:to>
      <xdr:col>20</xdr:col>
      <xdr:colOff>704850</xdr:colOff>
      <xdr:row>56</xdr:row>
      <xdr:rowOff>180974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57150</xdr:colOff>
      <xdr:row>0</xdr:row>
      <xdr:rowOff>38100</xdr:rowOff>
    </xdr:from>
    <xdr:to>
      <xdr:col>33</xdr:col>
      <xdr:colOff>190500</xdr:colOff>
      <xdr:row>16</xdr:row>
      <xdr:rowOff>57150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57150</xdr:colOff>
      <xdr:row>16</xdr:row>
      <xdr:rowOff>104775</xdr:rowOff>
    </xdr:from>
    <xdr:to>
      <xdr:col>33</xdr:col>
      <xdr:colOff>190500</xdr:colOff>
      <xdr:row>32</xdr:row>
      <xdr:rowOff>123825</xdr:rowOff>
    </xdr:to>
    <xdr:graphicFrame macro="">
      <xdr:nvGraphicFramePr>
        <xdr:cNvPr id="8" name="Graf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21</xdr:col>
      <xdr:colOff>57150</xdr:colOff>
      <xdr:row>33</xdr:row>
      <xdr:rowOff>9525</xdr:rowOff>
    </xdr:from>
    <xdr:to>
      <xdr:col>33</xdr:col>
      <xdr:colOff>190500</xdr:colOff>
      <xdr:row>49</xdr:row>
      <xdr:rowOff>28575</xdr:rowOff>
    </xdr:to>
    <xdr:graphicFrame macro="">
      <xdr:nvGraphicFramePr>
        <xdr:cNvPr id="9" name="Graf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33</xdr:col>
      <xdr:colOff>219075</xdr:colOff>
      <xdr:row>0</xdr:row>
      <xdr:rowOff>38100</xdr:rowOff>
    </xdr:from>
    <xdr:to>
      <xdr:col>46</xdr:col>
      <xdr:colOff>314325</xdr:colOff>
      <xdr:row>16</xdr:row>
      <xdr:rowOff>57150</xdr:rowOff>
    </xdr:to>
    <xdr:graphicFrame macro="">
      <xdr:nvGraphicFramePr>
        <xdr:cNvPr id="10" name="Graf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9</xdr:col>
      <xdr:colOff>733425</xdr:colOff>
      <xdr:row>16</xdr:row>
      <xdr:rowOff>47625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16</xdr:row>
      <xdr:rowOff>57149</xdr:rowOff>
    </xdr:from>
    <xdr:to>
      <xdr:col>9</xdr:col>
      <xdr:colOff>733425</xdr:colOff>
      <xdr:row>32</xdr:row>
      <xdr:rowOff>161925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28575</xdr:colOff>
      <xdr:row>0</xdr:row>
      <xdr:rowOff>28575</xdr:rowOff>
    </xdr:from>
    <xdr:to>
      <xdr:col>20</xdr:col>
      <xdr:colOff>714375</xdr:colOff>
      <xdr:row>16</xdr:row>
      <xdr:rowOff>47625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28575</xdr:colOff>
      <xdr:row>16</xdr:row>
      <xdr:rowOff>57149</xdr:rowOff>
    </xdr:from>
    <xdr:to>
      <xdr:col>20</xdr:col>
      <xdr:colOff>714375</xdr:colOff>
      <xdr:row>32</xdr:row>
      <xdr:rowOff>161924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19050</xdr:colOff>
      <xdr:row>33</xdr:row>
      <xdr:rowOff>19049</xdr:rowOff>
    </xdr:from>
    <xdr:to>
      <xdr:col>20</xdr:col>
      <xdr:colOff>704850</xdr:colOff>
      <xdr:row>56</xdr:row>
      <xdr:rowOff>180974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742950</xdr:colOff>
      <xdr:row>0</xdr:row>
      <xdr:rowOff>28575</xdr:rowOff>
    </xdr:from>
    <xdr:to>
      <xdr:col>33</xdr:col>
      <xdr:colOff>123825</xdr:colOff>
      <xdr:row>16</xdr:row>
      <xdr:rowOff>47625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742950</xdr:colOff>
      <xdr:row>16</xdr:row>
      <xdr:rowOff>66675</xdr:rowOff>
    </xdr:from>
    <xdr:to>
      <xdr:col>33</xdr:col>
      <xdr:colOff>123825</xdr:colOff>
      <xdr:row>32</xdr:row>
      <xdr:rowOff>85725</xdr:rowOff>
    </xdr:to>
    <xdr:graphicFrame macro="">
      <xdr:nvGraphicFramePr>
        <xdr:cNvPr id="8" name="Graf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20</xdr:col>
      <xdr:colOff>742950</xdr:colOff>
      <xdr:row>33</xdr:row>
      <xdr:rowOff>28575</xdr:rowOff>
    </xdr:from>
    <xdr:to>
      <xdr:col>33</xdr:col>
      <xdr:colOff>123825</xdr:colOff>
      <xdr:row>49</xdr:row>
      <xdr:rowOff>133350</xdr:rowOff>
    </xdr:to>
    <xdr:graphicFrame macro="">
      <xdr:nvGraphicFramePr>
        <xdr:cNvPr id="9" name="Graf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9</xdr:col>
      <xdr:colOff>733425</xdr:colOff>
      <xdr:row>16</xdr:row>
      <xdr:rowOff>47625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16</xdr:row>
      <xdr:rowOff>57149</xdr:rowOff>
    </xdr:from>
    <xdr:to>
      <xdr:col>9</xdr:col>
      <xdr:colOff>733425</xdr:colOff>
      <xdr:row>32</xdr:row>
      <xdr:rowOff>161925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9525</xdr:colOff>
      <xdr:row>0</xdr:row>
      <xdr:rowOff>19050</xdr:rowOff>
    </xdr:from>
    <xdr:to>
      <xdr:col>21</xdr:col>
      <xdr:colOff>209550</xdr:colOff>
      <xdr:row>16</xdr:row>
      <xdr:rowOff>47625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9525</xdr:colOff>
      <xdr:row>16</xdr:row>
      <xdr:rowOff>57150</xdr:rowOff>
    </xdr:from>
    <xdr:to>
      <xdr:col>21</xdr:col>
      <xdr:colOff>209550</xdr:colOff>
      <xdr:row>32</xdr:row>
      <xdr:rowOff>161926</xdr:rowOff>
    </xdr:to>
    <xdr:graphicFrame macro="">
      <xdr:nvGraphicFramePr>
        <xdr:cNvPr id="8" name="Graf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247650</xdr:colOff>
      <xdr:row>0</xdr:row>
      <xdr:rowOff>28575</xdr:rowOff>
    </xdr:from>
    <xdr:to>
      <xdr:col>34</xdr:col>
      <xdr:colOff>190500</xdr:colOff>
      <xdr:row>16</xdr:row>
      <xdr:rowOff>57150</xdr:rowOff>
    </xdr:to>
    <xdr:graphicFrame macro="">
      <xdr:nvGraphicFramePr>
        <xdr:cNvPr id="9" name="Graf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247650</xdr:colOff>
      <xdr:row>16</xdr:row>
      <xdr:rowOff>66675</xdr:rowOff>
    </xdr:from>
    <xdr:to>
      <xdr:col>34</xdr:col>
      <xdr:colOff>190500</xdr:colOff>
      <xdr:row>32</xdr:row>
      <xdr:rowOff>171451</xdr:rowOff>
    </xdr:to>
    <xdr:graphicFrame macro="">
      <xdr:nvGraphicFramePr>
        <xdr:cNvPr id="10" name="Graf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34</xdr:col>
      <xdr:colOff>209550</xdr:colOff>
      <xdr:row>0</xdr:row>
      <xdr:rowOff>28575</xdr:rowOff>
    </xdr:from>
    <xdr:to>
      <xdr:col>48</xdr:col>
      <xdr:colOff>152400</xdr:colOff>
      <xdr:row>16</xdr:row>
      <xdr:rowOff>57150</xdr:rowOff>
    </xdr:to>
    <xdr:graphicFrame macro="">
      <xdr:nvGraphicFramePr>
        <xdr:cNvPr id="11" name="Graf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34</xdr:col>
      <xdr:colOff>209550</xdr:colOff>
      <xdr:row>16</xdr:row>
      <xdr:rowOff>66675</xdr:rowOff>
    </xdr:from>
    <xdr:to>
      <xdr:col>48</xdr:col>
      <xdr:colOff>152400</xdr:colOff>
      <xdr:row>32</xdr:row>
      <xdr:rowOff>171451</xdr:rowOff>
    </xdr:to>
    <xdr:graphicFrame macro="">
      <xdr:nvGraphicFramePr>
        <xdr:cNvPr id="12" name="Graf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34</xdr:col>
      <xdr:colOff>209550</xdr:colOff>
      <xdr:row>33</xdr:row>
      <xdr:rowOff>0</xdr:rowOff>
    </xdr:from>
    <xdr:to>
      <xdr:col>47</xdr:col>
      <xdr:colOff>304800</xdr:colOff>
      <xdr:row>50</xdr:row>
      <xdr:rowOff>19050</xdr:rowOff>
    </xdr:to>
    <xdr:graphicFrame macro="">
      <xdr:nvGraphicFramePr>
        <xdr:cNvPr id="13" name="Graf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34</xdr:col>
      <xdr:colOff>209550</xdr:colOff>
      <xdr:row>50</xdr:row>
      <xdr:rowOff>47625</xdr:rowOff>
    </xdr:from>
    <xdr:to>
      <xdr:col>47</xdr:col>
      <xdr:colOff>304800</xdr:colOff>
      <xdr:row>68</xdr:row>
      <xdr:rowOff>66675</xdr:rowOff>
    </xdr:to>
    <xdr:graphicFrame macro="">
      <xdr:nvGraphicFramePr>
        <xdr:cNvPr id="14" name="Graf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48</xdr:col>
      <xdr:colOff>200024</xdr:colOff>
      <xdr:row>49</xdr:row>
      <xdr:rowOff>38099</xdr:rowOff>
    </xdr:from>
    <xdr:to>
      <xdr:col>61</xdr:col>
      <xdr:colOff>295275</xdr:colOff>
      <xdr:row>65</xdr:row>
      <xdr:rowOff>66675</xdr:rowOff>
    </xdr:to>
    <xdr:graphicFrame macro="">
      <xdr:nvGraphicFramePr>
        <xdr:cNvPr id="16" name="Graf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48</xdr:col>
      <xdr:colOff>190500</xdr:colOff>
      <xdr:row>0</xdr:row>
      <xdr:rowOff>28575</xdr:rowOff>
    </xdr:from>
    <xdr:to>
      <xdr:col>61</xdr:col>
      <xdr:colOff>285751</xdr:colOff>
      <xdr:row>16</xdr:row>
      <xdr:rowOff>66675</xdr:rowOff>
    </xdr:to>
    <xdr:graphicFrame macro="">
      <xdr:nvGraphicFramePr>
        <xdr:cNvPr id="18" name="Graf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48</xdr:col>
      <xdr:colOff>192232</xdr:colOff>
      <xdr:row>16</xdr:row>
      <xdr:rowOff>87457</xdr:rowOff>
    </xdr:from>
    <xdr:to>
      <xdr:col>61</xdr:col>
      <xdr:colOff>287483</xdr:colOff>
      <xdr:row>32</xdr:row>
      <xdr:rowOff>123825</xdr:rowOff>
    </xdr:to>
    <xdr:graphicFrame macro="">
      <xdr:nvGraphicFramePr>
        <xdr:cNvPr id="19" name="Graf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48</xdr:col>
      <xdr:colOff>201757</xdr:colOff>
      <xdr:row>32</xdr:row>
      <xdr:rowOff>165388</xdr:rowOff>
    </xdr:from>
    <xdr:to>
      <xdr:col>61</xdr:col>
      <xdr:colOff>297008</xdr:colOff>
      <xdr:row>49</xdr:row>
      <xdr:rowOff>9525</xdr:rowOff>
    </xdr:to>
    <xdr:graphicFrame macro="">
      <xdr:nvGraphicFramePr>
        <xdr:cNvPr id="20" name="Graf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log.adamjurak.cz/mesicni-kpi-report-pro-e-shop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blog.adamjurak.cz/mesicni-kpi-report-pro-e-shop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blog.adamjurak.cz/mesicni-kpi-report-pro-e-shop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blog.adamjurak.cz/mesicni-kpi-report-pro-e-shop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blog.adamjurak.cz/mesicni-kpi-report-pro-e-shop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blog.adamjurak.cz/mesicni-kpi-report-pro-e-shop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blog.adamjurak.cz/mesicni-kpi-report-pro-e-shop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blog.adamjurak.cz/mesicni-kpi-report-pro-e-sho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9"/>
  <sheetViews>
    <sheetView tabSelected="1" workbookViewId="0"/>
  </sheetViews>
  <sheetFormatPr defaultRowHeight="15" x14ac:dyDescent="0.25"/>
  <cols>
    <col min="1" max="2" width="14.85546875" customWidth="1"/>
    <col min="3" max="3" width="11.5703125" style="18" customWidth="1"/>
    <col min="4" max="4" width="14.28515625" customWidth="1"/>
    <col min="6" max="7" width="14.5703125" customWidth="1"/>
    <col min="8" max="8" width="12.7109375" customWidth="1"/>
    <col min="9" max="9" width="13" customWidth="1"/>
    <col min="14" max="14" width="9.140625" customWidth="1"/>
    <col min="19" max="19" width="11.28515625" bestFit="1" customWidth="1"/>
  </cols>
  <sheetData>
    <row r="1" spans="1:19" ht="22.5" x14ac:dyDescent="0.35">
      <c r="A1" s="88" t="s">
        <v>177</v>
      </c>
    </row>
    <row r="2" spans="1:19" x14ac:dyDescent="0.25">
      <c r="N2" s="89"/>
      <c r="O2" s="90"/>
      <c r="P2" s="90"/>
    </row>
    <row r="3" spans="1:19" x14ac:dyDescent="0.25">
      <c r="A3" s="43" t="s">
        <v>178</v>
      </c>
      <c r="B3" s="44" t="str">
        <f>'nastavit-mesic'!$B$5</f>
        <v>2013-09</v>
      </c>
      <c r="C3" s="45" t="s">
        <v>108</v>
      </c>
      <c r="D3" s="26" t="str">
        <f>'nastavit-mesic'!$B$6</f>
        <v>2012-09</v>
      </c>
      <c r="F3" s="43" t="s">
        <v>114</v>
      </c>
      <c r="G3" s="29" t="str">
        <f>'nastavit-mesic'!$B$5</f>
        <v>2013-09</v>
      </c>
      <c r="H3" s="33" t="s">
        <v>108</v>
      </c>
      <c r="I3" s="26" t="str">
        <f>'nastavit-mesic'!$B$6</f>
        <v>2012-09</v>
      </c>
      <c r="Q3" s="14"/>
      <c r="R3" s="14" t="s">
        <v>0</v>
      </c>
      <c r="S3" s="14" t="s">
        <v>2</v>
      </c>
    </row>
    <row r="4" spans="1:19" x14ac:dyDescent="0.25">
      <c r="A4" s="46" t="s">
        <v>0</v>
      </c>
      <c r="B4" s="47">
        <f>komplet!Z41</f>
        <v>236874.19029893522</v>
      </c>
      <c r="C4" s="48">
        <f>(B4-D4)/D4</f>
        <v>8.1224515149061829E-2</v>
      </c>
      <c r="D4" s="23">
        <f>komplet!N41</f>
        <v>219079.55931454146</v>
      </c>
      <c r="F4" s="27" t="s">
        <v>0</v>
      </c>
      <c r="G4" s="30">
        <f>'direct,ref,mm,rtb'!G39</f>
        <v>21490.637922366568</v>
      </c>
      <c r="H4" s="34">
        <f>(G4-I4)/I4</f>
        <v>-0.25434151425865842</v>
      </c>
      <c r="I4" s="23">
        <f>'direct,ref,mm,rtb'!I39</f>
        <v>28821.019720576704</v>
      </c>
      <c r="Q4" s="14" t="s">
        <v>110</v>
      </c>
      <c r="R4" s="15">
        <f>B11</f>
        <v>67254.796128580099</v>
      </c>
      <c r="S4" s="16">
        <f>B13</f>
        <v>1741411.3256157408</v>
      </c>
    </row>
    <row r="5" spans="1:19" x14ac:dyDescent="0.25">
      <c r="A5" s="46" t="s">
        <v>1</v>
      </c>
      <c r="B5" s="47">
        <f>komplet!Z42</f>
        <v>4030.3621809508832</v>
      </c>
      <c r="C5" s="48">
        <f t="shared" ref="C5:C8" si="0">(B5-D5)/D5</f>
        <v>0.20041149205004732</v>
      </c>
      <c r="D5" s="23">
        <f>komplet!N42</f>
        <v>3357.4838358702168</v>
      </c>
      <c r="F5" s="27" t="s">
        <v>1</v>
      </c>
      <c r="G5" s="30">
        <f>'direct,ref,mm,rtb'!G40</f>
        <v>180.42862343396118</v>
      </c>
      <c r="H5" s="34">
        <f t="shared" ref="H5:H8" si="1">(G5-I5)/I5</f>
        <v>-0.36497765433347851</v>
      </c>
      <c r="I5" s="23">
        <f>'direct,ref,mm,rtb'!I40</f>
        <v>284.12956593611318</v>
      </c>
      <c r="Q5" s="14" t="s">
        <v>111</v>
      </c>
      <c r="R5" s="15">
        <f>B18</f>
        <v>70700.271481561984</v>
      </c>
      <c r="S5" s="16">
        <f>B20</f>
        <v>1303238.6134926514</v>
      </c>
    </row>
    <row r="6" spans="1:19" x14ac:dyDescent="0.25">
      <c r="A6" s="46" t="s">
        <v>2</v>
      </c>
      <c r="B6" s="49">
        <f>komplet!Z43</f>
        <v>5732651.6271258974</v>
      </c>
      <c r="C6" s="48">
        <f t="shared" si="0"/>
        <v>0.18109658938710896</v>
      </c>
      <c r="D6" s="24">
        <f>komplet!N43</f>
        <v>4853668.767344987</v>
      </c>
      <c r="F6" s="27" t="s">
        <v>2</v>
      </c>
      <c r="G6" s="31">
        <f>'direct,ref,mm,rtb'!G41</f>
        <v>380685.35207889689</v>
      </c>
      <c r="H6" s="34">
        <f t="shared" si="1"/>
        <v>-0.3541054207592445</v>
      </c>
      <c r="I6" s="24">
        <f>'direct,ref,mm,rtb'!I41</f>
        <v>589392.39361071866</v>
      </c>
      <c r="Q6" s="14" t="s">
        <v>112</v>
      </c>
      <c r="R6" s="15">
        <f>G25</f>
        <v>15851.897031025219</v>
      </c>
      <c r="S6" s="16">
        <f>G27</f>
        <v>789571.62226799037</v>
      </c>
    </row>
    <row r="7" spans="1:19" x14ac:dyDescent="0.25">
      <c r="A7" s="46" t="s">
        <v>3</v>
      </c>
      <c r="B7" s="50">
        <f>B5/B4</f>
        <v>1.7014779769229254E-2</v>
      </c>
      <c r="C7" s="48">
        <f t="shared" si="0"/>
        <v>0.11023332825981474</v>
      </c>
      <c r="D7" s="25">
        <f>D5/D4</f>
        <v>1.5325408935343622E-2</v>
      </c>
      <c r="F7" s="27" t="s">
        <v>3</v>
      </c>
      <c r="G7" s="32">
        <f>G5/G4</f>
        <v>8.3956848598793123E-3</v>
      </c>
      <c r="H7" s="34">
        <f t="shared" si="1"/>
        <v>-0.14837374239069295</v>
      </c>
      <c r="I7" s="25">
        <f>I5/I4</f>
        <v>9.8584147504420013E-3</v>
      </c>
      <c r="Q7" s="14" t="s">
        <v>113</v>
      </c>
      <c r="R7" s="15">
        <f>B25</f>
        <v>29977.822343317737</v>
      </c>
      <c r="S7" s="16">
        <f>B27</f>
        <v>1079425.1525568196</v>
      </c>
    </row>
    <row r="8" spans="1:19" x14ac:dyDescent="0.25">
      <c r="A8" s="46" t="s">
        <v>156</v>
      </c>
      <c r="B8" s="49">
        <f>B6/B5</f>
        <v>1422.3663705015695</v>
      </c>
      <c r="C8" s="48">
        <f t="shared" si="0"/>
        <v>-1.6090234716057722E-2</v>
      </c>
      <c r="D8" s="24">
        <f>D6/D5</f>
        <v>1445.6268457617095</v>
      </c>
      <c r="F8" s="27" t="s">
        <v>156</v>
      </c>
      <c r="G8" s="31">
        <f>G6/G5</f>
        <v>2109.8944548464719</v>
      </c>
      <c r="H8" s="34">
        <f t="shared" si="1"/>
        <v>1.7121025186637405E-2</v>
      </c>
      <c r="I8" s="24">
        <f>I6/I5</f>
        <v>2074.3789604185158</v>
      </c>
      <c r="Q8" s="14" t="s">
        <v>114</v>
      </c>
      <c r="R8" s="15">
        <f>G4</f>
        <v>21490.637922366568</v>
      </c>
      <c r="S8" s="16">
        <f>G6</f>
        <v>380685.35207889689</v>
      </c>
    </row>
    <row r="9" spans="1:19" x14ac:dyDescent="0.25">
      <c r="H9" s="18"/>
      <c r="Q9" s="14" t="s">
        <v>115</v>
      </c>
      <c r="R9" s="15">
        <f>G11</f>
        <v>18793.84640259976</v>
      </c>
      <c r="S9" s="16">
        <f>G13</f>
        <v>210963.02599513953</v>
      </c>
    </row>
    <row r="10" spans="1:19" x14ac:dyDescent="0.25">
      <c r="A10" s="43" t="s">
        <v>110</v>
      </c>
      <c r="B10" s="29" t="str">
        <f>'nastavit-mesic'!$B$5</f>
        <v>2013-09</v>
      </c>
      <c r="C10" s="33" t="s">
        <v>108</v>
      </c>
      <c r="D10" s="26" t="str">
        <f>'nastavit-mesic'!$B$6</f>
        <v>2012-09</v>
      </c>
      <c r="F10" s="43" t="s">
        <v>115</v>
      </c>
      <c r="G10" s="29" t="str">
        <f>'nastavit-mesic'!$B$5</f>
        <v>2013-09</v>
      </c>
      <c r="H10" s="33" t="s">
        <v>108</v>
      </c>
      <c r="I10" s="26" t="str">
        <f>'nastavit-mesic'!$B$6</f>
        <v>2012-09</v>
      </c>
      <c r="Q10" s="14" t="s">
        <v>155</v>
      </c>
      <c r="R10" s="15">
        <f>G18</f>
        <v>12804.918989483891</v>
      </c>
      <c r="S10" s="16">
        <f>G20</f>
        <v>227356.5351186585</v>
      </c>
    </row>
    <row r="11" spans="1:19" x14ac:dyDescent="0.25">
      <c r="A11" s="27" t="s">
        <v>0</v>
      </c>
      <c r="B11" s="30">
        <f>organic!B39</f>
        <v>67254.796128580099</v>
      </c>
      <c r="C11" s="34">
        <f>(B11-D11)/D11</f>
        <v>-4.5629508118249056E-2</v>
      </c>
      <c r="D11" s="23">
        <f>organic!D39</f>
        <v>70470.322270727906</v>
      </c>
      <c r="F11" s="27" t="s">
        <v>0</v>
      </c>
      <c r="G11" s="30">
        <f>'direct,ref,mm,rtb'!L39</f>
        <v>18793.84640259976</v>
      </c>
      <c r="H11" s="34">
        <f>(G11-I11)/I11</f>
        <v>1.2252089949137375</v>
      </c>
      <c r="I11" s="23">
        <f>'direct,ref,mm,rtb'!N39</f>
        <v>8445.8792165399827</v>
      </c>
      <c r="Q11" s="14"/>
      <c r="R11" s="15"/>
      <c r="S11" s="16"/>
    </row>
    <row r="12" spans="1:19" x14ac:dyDescent="0.25">
      <c r="A12" s="27" t="s">
        <v>1</v>
      </c>
      <c r="B12" s="30">
        <f>organic!B40</f>
        <v>1171.7634414936463</v>
      </c>
      <c r="C12" s="34">
        <f t="shared" ref="C12:C15" si="2">(B12-D12)/D12</f>
        <v>0.19611446676797281</v>
      </c>
      <c r="D12" s="23">
        <f>organic!D40</f>
        <v>979.64155944027198</v>
      </c>
      <c r="F12" s="27" t="s">
        <v>1</v>
      </c>
      <c r="G12" s="30">
        <f>'direct,ref,mm,rtb'!L40</f>
        <v>234.92141259915661</v>
      </c>
      <c r="H12" s="34">
        <f t="shared" ref="H12:H15" si="3">(G12-I12)/I12</f>
        <v>-9.5664770443987159E-3</v>
      </c>
      <c r="I12" s="23">
        <f>'direct,ref,mm,rtb'!N40</f>
        <v>237.19048997666809</v>
      </c>
    </row>
    <row r="13" spans="1:19" x14ac:dyDescent="0.25">
      <c r="A13" s="27" t="s">
        <v>2</v>
      </c>
      <c r="B13" s="31">
        <f>organic!B41</f>
        <v>1741411.3256157408</v>
      </c>
      <c r="C13" s="34">
        <f t="shared" si="2"/>
        <v>0.54317520575068345</v>
      </c>
      <c r="D13" s="24">
        <f>organic!D41</f>
        <v>1128459.8917390101</v>
      </c>
      <c r="F13" s="27" t="s">
        <v>2</v>
      </c>
      <c r="G13" s="31">
        <f>'direct,ref,mm,rtb'!L41</f>
        <v>210963.02599513953</v>
      </c>
      <c r="H13" s="34">
        <f t="shared" si="3"/>
        <v>-0.42651966556357762</v>
      </c>
      <c r="I13" s="24">
        <f>'direct,ref,mm,rtb'!N41</f>
        <v>367864.44682965404</v>
      </c>
    </row>
    <row r="14" spans="1:19" x14ac:dyDescent="0.25">
      <c r="A14" s="27" t="s">
        <v>3</v>
      </c>
      <c r="B14" s="32">
        <f>B12/B11</f>
        <v>1.7422749141242321E-2</v>
      </c>
      <c r="C14" s="34">
        <f t="shared" si="2"/>
        <v>0.25330202153418485</v>
      </c>
      <c r="D14" s="25">
        <f>D12/D11</f>
        <v>1.3901476932044588E-2</v>
      </c>
      <c r="F14" s="27" t="s">
        <v>3</v>
      </c>
      <c r="G14" s="32">
        <f>G12/G11</f>
        <v>1.2499911277696717E-2</v>
      </c>
      <c r="H14" s="34">
        <f t="shared" si="3"/>
        <v>-0.55490314607774782</v>
      </c>
      <c r="I14" s="25">
        <f>I12/I11</f>
        <v>2.8083575894877377E-2</v>
      </c>
    </row>
    <row r="15" spans="1:19" x14ac:dyDescent="0.25">
      <c r="A15" s="27" t="s">
        <v>156</v>
      </c>
      <c r="B15" s="31">
        <f>B13/B12</f>
        <v>1486.1458072082917</v>
      </c>
      <c r="C15" s="34">
        <f t="shared" si="2"/>
        <v>0.29015679404037753</v>
      </c>
      <c r="D15" s="24">
        <f>D13/D12</f>
        <v>1151.911003432487</v>
      </c>
      <c r="F15" s="27" t="s">
        <v>156</v>
      </c>
      <c r="G15" s="31">
        <f>G13/G12</f>
        <v>898.0153135512727</v>
      </c>
      <c r="H15" s="34">
        <f t="shared" si="3"/>
        <v>-0.42098048870047172</v>
      </c>
      <c r="I15" s="24">
        <f>I13/I12</f>
        <v>1550.9240984570674</v>
      </c>
    </row>
    <row r="16" spans="1:19" x14ac:dyDescent="0.25">
      <c r="H16" s="18"/>
    </row>
    <row r="17" spans="1:19" x14ac:dyDescent="0.25">
      <c r="A17" s="43" t="s">
        <v>111</v>
      </c>
      <c r="B17" s="29" t="str">
        <f>'nastavit-mesic'!$B$5</f>
        <v>2013-09</v>
      </c>
      <c r="C17" s="33" t="s">
        <v>108</v>
      </c>
      <c r="D17" s="26" t="str">
        <f>'nastavit-mesic'!$B$6</f>
        <v>2012-09</v>
      </c>
      <c r="F17" s="43" t="s">
        <v>155</v>
      </c>
      <c r="G17" s="29" t="str">
        <f>'nastavit-mesic'!$B$5</f>
        <v>2013-09</v>
      </c>
      <c r="H17" s="33" t="s">
        <v>108</v>
      </c>
      <c r="I17" s="91" t="str">
        <f>'direct,ref,mm,rtb'!S35</f>
        <v>2013-08</v>
      </c>
    </row>
    <row r="18" spans="1:19" x14ac:dyDescent="0.25">
      <c r="A18" s="27" t="s">
        <v>0</v>
      </c>
      <c r="B18" s="30">
        <f>cpc!B38</f>
        <v>70700.271481561984</v>
      </c>
      <c r="C18" s="34">
        <f>(B18-D18)/D18</f>
        <v>0.4707245241781513</v>
      </c>
      <c r="D18" s="23">
        <f>cpc!D38</f>
        <v>48071.729490653372</v>
      </c>
      <c r="F18" s="27" t="s">
        <v>0</v>
      </c>
      <c r="G18" s="30">
        <f>'direct,ref,mm,rtb'!Q36</f>
        <v>12804.918989483891</v>
      </c>
      <c r="H18" s="34">
        <f>(G18-I18)/I18</f>
        <v>-0.28429532672302371</v>
      </c>
      <c r="I18" s="92">
        <f>'direct,ref,mm,rtb'!S36</f>
        <v>17891.344667143752</v>
      </c>
    </row>
    <row r="19" spans="1:19" x14ac:dyDescent="0.25">
      <c r="A19" s="27" t="s">
        <v>1</v>
      </c>
      <c r="B19" s="30">
        <f>cpc!B39</f>
        <v>916.52948509090481</v>
      </c>
      <c r="C19" s="34">
        <f t="shared" ref="C19:C22" si="4">(B19-D19)/D19</f>
        <v>1.2068740177540447</v>
      </c>
      <c r="D19" s="23">
        <f>cpc!D39</f>
        <v>415.30666350572426</v>
      </c>
      <c r="F19" s="27" t="s">
        <v>1</v>
      </c>
      <c r="G19" s="30">
        <f>'direct,ref,mm,rtb'!Q37</f>
        <v>316.6013060781932</v>
      </c>
      <c r="H19" s="34">
        <f t="shared" ref="H19:H22" si="5">(G19-I19)/I19</f>
        <v>-0.13601665329943113</v>
      </c>
      <c r="I19" s="92">
        <f>'direct,ref,mm,rtb'!S37</f>
        <v>366.44375992575453</v>
      </c>
    </row>
    <row r="20" spans="1:19" x14ac:dyDescent="0.25">
      <c r="A20" s="27" t="s">
        <v>2</v>
      </c>
      <c r="B20" s="31">
        <f>cpc!B40</f>
        <v>1303238.6134926514</v>
      </c>
      <c r="C20" s="34">
        <f t="shared" si="4"/>
        <v>0.42995727009356333</v>
      </c>
      <c r="D20" s="24">
        <f>cpc!D40</f>
        <v>911382.90685243998</v>
      </c>
      <c r="F20" s="27" t="s">
        <v>2</v>
      </c>
      <c r="G20" s="31">
        <f>'direct,ref,mm,rtb'!Q38</f>
        <v>227356.5351186585</v>
      </c>
      <c r="H20" s="34">
        <f t="shared" si="5"/>
        <v>-0.65237962809964778</v>
      </c>
      <c r="I20" s="93">
        <f>'direct,ref,mm,rtb'!S38</f>
        <v>654036.8559982779</v>
      </c>
    </row>
    <row r="21" spans="1:19" x14ac:dyDescent="0.25">
      <c r="A21" s="27" t="s">
        <v>3</v>
      </c>
      <c r="B21" s="32">
        <f>B19/B18</f>
        <v>1.2963592160037571E-2</v>
      </c>
      <c r="C21" s="34">
        <f t="shared" si="4"/>
        <v>0.500535267804321</v>
      </c>
      <c r="D21" s="25">
        <f>D19/D18</f>
        <v>8.6393118763591122E-3</v>
      </c>
      <c r="F21" s="27" t="s">
        <v>3</v>
      </c>
      <c r="G21" s="32">
        <f>G19/G18</f>
        <v>2.4724975326919581E-2</v>
      </c>
      <c r="H21" s="34">
        <f t="shared" si="5"/>
        <v>0.20717857373303616</v>
      </c>
      <c r="I21" s="94">
        <f>I19/I18</f>
        <v>2.048162207722172E-2</v>
      </c>
    </row>
    <row r="22" spans="1:19" x14ac:dyDescent="0.25">
      <c r="A22" s="27" t="s">
        <v>156</v>
      </c>
      <c r="B22" s="31">
        <f>B20/B19</f>
        <v>1421.9276462921334</v>
      </c>
      <c r="C22" s="34">
        <f t="shared" si="4"/>
        <v>-0.35204399590111479</v>
      </c>
      <c r="D22" s="24">
        <f>D20/D19</f>
        <v>2194.4817816290065</v>
      </c>
      <c r="F22" s="27" t="s">
        <v>156</v>
      </c>
      <c r="G22" s="31">
        <f>G20/G19</f>
        <v>718.11622616145087</v>
      </c>
      <c r="H22" s="34">
        <f t="shared" si="5"/>
        <v>-0.59765385151477091</v>
      </c>
      <c r="I22" s="93">
        <f>I20/I19</f>
        <v>1784.8219222802234</v>
      </c>
    </row>
    <row r="23" spans="1:19" x14ac:dyDescent="0.25">
      <c r="H23" s="18"/>
      <c r="Q23" s="14" t="s">
        <v>154</v>
      </c>
      <c r="R23" s="14" t="s">
        <v>0</v>
      </c>
      <c r="S23" s="14" t="s">
        <v>2</v>
      </c>
    </row>
    <row r="24" spans="1:19" x14ac:dyDescent="0.25">
      <c r="A24" s="43" t="s">
        <v>113</v>
      </c>
      <c r="B24" s="29" t="str">
        <f>'nastavit-mesic'!$B$5</f>
        <v>2013-09</v>
      </c>
      <c r="C24" s="33" t="s">
        <v>108</v>
      </c>
      <c r="D24" s="26" t="str">
        <f>'nastavit-mesic'!$B$6</f>
        <v>2012-09</v>
      </c>
      <c r="F24" s="43" t="s">
        <v>112</v>
      </c>
      <c r="G24" s="29" t="str">
        <f>'nastavit-mesic'!$B$5</f>
        <v>2013-09</v>
      </c>
      <c r="H24" s="33" t="s">
        <v>108</v>
      </c>
      <c r="I24" s="26" t="str">
        <f>'nastavit-mesic'!$B$6</f>
        <v>2012-09</v>
      </c>
      <c r="Q24" s="14" t="s">
        <v>110</v>
      </c>
      <c r="R24" s="15">
        <f>D11</f>
        <v>70470.322270727906</v>
      </c>
      <c r="S24" s="16">
        <f>D13</f>
        <v>1128459.8917390101</v>
      </c>
    </row>
    <row r="25" spans="1:19" x14ac:dyDescent="0.25">
      <c r="A25" s="27" t="s">
        <v>0</v>
      </c>
      <c r="B25" s="30">
        <f>'direct,ref,mm,rtb'!B39</f>
        <v>29977.822343317737</v>
      </c>
      <c r="C25" s="34">
        <f>(B25-D25)/D25</f>
        <v>-0.15603033372659567</v>
      </c>
      <c r="D25" s="23">
        <f>'direct,ref,mm,rtb'!D39</f>
        <v>35520.023457343559</v>
      </c>
      <c r="F25" s="27" t="s">
        <v>0</v>
      </c>
      <c r="G25" s="30">
        <f>zbožáky!B39</f>
        <v>15851.897031025219</v>
      </c>
      <c r="H25" s="34">
        <f>(G25-I25)/I25</f>
        <v>-0.14452591630263723</v>
      </c>
      <c r="I25" s="23">
        <f>zbožáky!D39</f>
        <v>18529.955884242863</v>
      </c>
      <c r="Q25" s="14" t="s">
        <v>111</v>
      </c>
      <c r="R25" s="15">
        <f>D18</f>
        <v>48071.729490653372</v>
      </c>
      <c r="S25" s="16">
        <f>D20</f>
        <v>911382.90685243998</v>
      </c>
    </row>
    <row r="26" spans="1:19" x14ac:dyDescent="0.25">
      <c r="A26" s="27" t="s">
        <v>1</v>
      </c>
      <c r="B26" s="30">
        <f>'direct,ref,mm,rtb'!B40</f>
        <v>715.6580880465624</v>
      </c>
      <c r="C26" s="34">
        <f t="shared" ref="C26:C29" si="6">(B26-D26)/D26</f>
        <v>0.13576983772008214</v>
      </c>
      <c r="D26" s="23">
        <f>'direct,ref,mm,rtb'!D40</f>
        <v>630.1083760801024</v>
      </c>
      <c r="F26" s="27" t="s">
        <v>1</v>
      </c>
      <c r="G26" s="30">
        <f>zbožáky!B40</f>
        <v>494.45982420845883</v>
      </c>
      <c r="H26" s="34">
        <f t="shared" ref="H26:H29" si="7">(G26-I26)/I26</f>
        <v>-0.17275703643042695</v>
      </c>
      <c r="I26" s="23">
        <f>zbožáky!D40</f>
        <v>597.72019344214539</v>
      </c>
      <c r="Q26" s="14" t="s">
        <v>112</v>
      </c>
      <c r="R26" s="15">
        <f>I25</f>
        <v>18529.955884242863</v>
      </c>
      <c r="S26" s="16">
        <f>I27</f>
        <v>553269.56807672256</v>
      </c>
    </row>
    <row r="27" spans="1:19" x14ac:dyDescent="0.25">
      <c r="A27" s="27" t="s">
        <v>2</v>
      </c>
      <c r="B27" s="31">
        <f>'direct,ref,mm,rtb'!B41</f>
        <v>1079425.1525568196</v>
      </c>
      <c r="C27" s="34">
        <f t="shared" si="6"/>
        <v>9.0578164479075324E-2</v>
      </c>
      <c r="D27" s="24">
        <f>'direct,ref,mm,rtb'!D41</f>
        <v>989773.30347744212</v>
      </c>
      <c r="F27" s="27" t="s">
        <v>2</v>
      </c>
      <c r="G27" s="31">
        <f>zbožáky!B41</f>
        <v>789571.62226799037</v>
      </c>
      <c r="H27" s="34">
        <f t="shared" si="7"/>
        <v>0.4271011236217126</v>
      </c>
      <c r="I27" s="24">
        <f>zbožáky!D41</f>
        <v>553269.56807672256</v>
      </c>
      <c r="Q27" s="14" t="s">
        <v>113</v>
      </c>
      <c r="R27" s="15">
        <f>D25</f>
        <v>35520.023457343559</v>
      </c>
      <c r="S27" s="16">
        <f>D27</f>
        <v>989773.30347744212</v>
      </c>
    </row>
    <row r="28" spans="1:19" x14ac:dyDescent="0.25">
      <c r="A28" s="27" t="s">
        <v>3</v>
      </c>
      <c r="B28" s="32">
        <f>B26/B25</f>
        <v>2.3872917780703558E-2</v>
      </c>
      <c r="C28" s="34">
        <f t="shared" si="6"/>
        <v>0.3457472265977734</v>
      </c>
      <c r="D28" s="25">
        <f>D26/D25</f>
        <v>1.7739525899717026E-2</v>
      </c>
      <c r="F28" s="27" t="s">
        <v>3</v>
      </c>
      <c r="G28" s="32">
        <f>G26/G25</f>
        <v>3.1192470102518684E-2</v>
      </c>
      <c r="H28" s="34">
        <f t="shared" si="7"/>
        <v>-3.3000555675251717E-2</v>
      </c>
      <c r="I28" s="25">
        <f>I26/I25</f>
        <v>3.2256967969925006E-2</v>
      </c>
      <c r="Q28" s="14" t="s">
        <v>114</v>
      </c>
      <c r="R28" s="15">
        <f>I4</f>
        <v>28821.019720576704</v>
      </c>
      <c r="S28" s="16">
        <f>I6</f>
        <v>589392.39361071866</v>
      </c>
    </row>
    <row r="29" spans="1:19" x14ac:dyDescent="0.25">
      <c r="A29" s="27" t="s">
        <v>156</v>
      </c>
      <c r="B29" s="31">
        <f>B27/B26</f>
        <v>1508.2972869113855</v>
      </c>
      <c r="C29" s="34">
        <f t="shared" si="6"/>
        <v>-3.9789464150345469E-2</v>
      </c>
      <c r="D29" s="24">
        <f>D27/D26</f>
        <v>1570.7985182403247</v>
      </c>
      <c r="F29" s="27" t="s">
        <v>156</v>
      </c>
      <c r="G29" s="31">
        <f>G27/G26</f>
        <v>1596.8367572268432</v>
      </c>
      <c r="H29" s="34">
        <f t="shared" si="7"/>
        <v>0.7251293591712612</v>
      </c>
      <c r="I29" s="24">
        <f>I27/I26</f>
        <v>925.63305397222575</v>
      </c>
      <c r="Q29" s="14" t="s">
        <v>115</v>
      </c>
      <c r="R29" s="15">
        <f>I11</f>
        <v>8445.8792165399827</v>
      </c>
      <c r="S29" s="16">
        <f>I13</f>
        <v>367864.44682965404</v>
      </c>
    </row>
    <row r="30" spans="1:19" x14ac:dyDescent="0.25">
      <c r="Q30" s="14"/>
      <c r="R30" s="15"/>
      <c r="S30" s="16"/>
    </row>
    <row r="68" spans="1:1" ht="18.75" x14ac:dyDescent="0.3">
      <c r="A68" s="107" t="s">
        <v>186</v>
      </c>
    </row>
    <row r="69" spans="1:1" x14ac:dyDescent="0.25">
      <c r="A69" s="106" t="s">
        <v>187</v>
      </c>
    </row>
  </sheetData>
  <conditionalFormatting sqref="C4:C7">
    <cfRule type="iconSet" priority="20">
      <iconSet iconSet="4Arrows">
        <cfvo type="percent" val="0"/>
        <cfvo type="num" val="-0.2"/>
        <cfvo type="num" val="0"/>
        <cfvo type="num" val="0.2"/>
      </iconSet>
    </cfRule>
  </conditionalFormatting>
  <conditionalFormatting sqref="C11:C14">
    <cfRule type="iconSet" priority="19">
      <iconSet iconSet="4Arrows">
        <cfvo type="percent" val="0"/>
        <cfvo type="num" val="-0.2"/>
        <cfvo type="num" val="0"/>
        <cfvo type="num" val="0.2"/>
      </iconSet>
    </cfRule>
  </conditionalFormatting>
  <conditionalFormatting sqref="C18:C21">
    <cfRule type="iconSet" priority="17">
      <iconSet iconSet="4Arrows">
        <cfvo type="percent" val="0"/>
        <cfvo type="num" val="-0.2"/>
        <cfvo type="num" val="0"/>
        <cfvo type="num" val="0.2"/>
      </iconSet>
    </cfRule>
  </conditionalFormatting>
  <conditionalFormatting sqref="H25:H28">
    <cfRule type="iconSet" priority="15">
      <iconSet iconSet="4Arrows">
        <cfvo type="percent" val="0"/>
        <cfvo type="num" val="-0.2"/>
        <cfvo type="num" val="0"/>
        <cfvo type="num" val="0.2"/>
      </iconSet>
    </cfRule>
  </conditionalFormatting>
  <conditionalFormatting sqref="C25:C28">
    <cfRule type="iconSet" priority="13">
      <iconSet iconSet="4Arrows">
        <cfvo type="percent" val="0"/>
        <cfvo type="num" val="-0.2"/>
        <cfvo type="num" val="0"/>
        <cfvo type="num" val="0.2"/>
      </iconSet>
    </cfRule>
  </conditionalFormatting>
  <conditionalFormatting sqref="H4:H7">
    <cfRule type="iconSet" priority="11">
      <iconSet iconSet="4Arrows">
        <cfvo type="percent" val="0"/>
        <cfvo type="num" val="-0.2"/>
        <cfvo type="num" val="0"/>
        <cfvo type="num" val="0.2"/>
      </iconSet>
    </cfRule>
  </conditionalFormatting>
  <conditionalFormatting sqref="H11:H14">
    <cfRule type="iconSet" priority="10">
      <iconSet iconSet="4Arrows">
        <cfvo type="percent" val="0"/>
        <cfvo type="num" val="-0.2"/>
        <cfvo type="num" val="0"/>
        <cfvo type="num" val="0.2"/>
      </iconSet>
    </cfRule>
  </conditionalFormatting>
  <conditionalFormatting sqref="H18:H21">
    <cfRule type="iconSet" priority="9">
      <iconSet iconSet="4Arrows">
        <cfvo type="percent" val="0"/>
        <cfvo type="num" val="-0.2"/>
        <cfvo type="num" val="0"/>
        <cfvo type="num" val="0.2"/>
      </iconSet>
    </cfRule>
  </conditionalFormatting>
  <conditionalFormatting sqref="C8">
    <cfRule type="iconSet" priority="8">
      <iconSet iconSet="4Arrows">
        <cfvo type="percent" val="0"/>
        <cfvo type="num" val="-0.2"/>
        <cfvo type="num" val="0"/>
        <cfvo type="num" val="0.2"/>
      </iconSet>
    </cfRule>
  </conditionalFormatting>
  <conditionalFormatting sqref="C15">
    <cfRule type="iconSet" priority="7">
      <iconSet iconSet="4Arrows">
        <cfvo type="percent" val="0"/>
        <cfvo type="num" val="-0.2"/>
        <cfvo type="num" val="0"/>
        <cfvo type="num" val="0.2"/>
      </iconSet>
    </cfRule>
  </conditionalFormatting>
  <conditionalFormatting sqref="C22">
    <cfRule type="iconSet" priority="6">
      <iconSet iconSet="4Arrows">
        <cfvo type="percent" val="0"/>
        <cfvo type="num" val="-0.2"/>
        <cfvo type="num" val="0"/>
        <cfvo type="num" val="0.2"/>
      </iconSet>
    </cfRule>
  </conditionalFormatting>
  <conditionalFormatting sqref="C29">
    <cfRule type="iconSet" priority="5">
      <iconSet iconSet="4Arrows">
        <cfvo type="percent" val="0"/>
        <cfvo type="num" val="-0.2"/>
        <cfvo type="num" val="0"/>
        <cfvo type="num" val="0.2"/>
      </iconSet>
    </cfRule>
  </conditionalFormatting>
  <conditionalFormatting sqref="H8">
    <cfRule type="iconSet" priority="4">
      <iconSet iconSet="4Arrows">
        <cfvo type="percent" val="0"/>
        <cfvo type="num" val="-0.2"/>
        <cfvo type="num" val="0"/>
        <cfvo type="num" val="0.2"/>
      </iconSet>
    </cfRule>
  </conditionalFormatting>
  <conditionalFormatting sqref="H15">
    <cfRule type="iconSet" priority="3">
      <iconSet iconSet="4Arrows">
        <cfvo type="percent" val="0"/>
        <cfvo type="num" val="-0.2"/>
        <cfvo type="num" val="0"/>
        <cfvo type="num" val="0.2"/>
      </iconSet>
    </cfRule>
  </conditionalFormatting>
  <conditionalFormatting sqref="H22">
    <cfRule type="iconSet" priority="2">
      <iconSet iconSet="4Arrows">
        <cfvo type="percent" val="0"/>
        <cfvo type="num" val="-0.2"/>
        <cfvo type="num" val="0"/>
        <cfvo type="num" val="0.2"/>
      </iconSet>
    </cfRule>
  </conditionalFormatting>
  <conditionalFormatting sqref="H29">
    <cfRule type="iconSet" priority="1">
      <iconSet iconSet="4Arrows">
        <cfvo type="percent" val="0"/>
        <cfvo type="num" val="-0.2"/>
        <cfvo type="num" val="0"/>
        <cfvo type="num" val="0.2"/>
      </iconSet>
    </cfRule>
  </conditionalFormatting>
  <hyperlinks>
    <hyperlink ref="A69" r:id="rId1"/>
  </hyperlinks>
  <pageMargins left="0.70866141732283472" right="0.70866141732283472" top="0.78740157480314965" bottom="0.78740157480314965" header="0.31496062992125984" footer="0.31496062992125984"/>
  <pageSetup paperSize="9" orientation="landscape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0:Z49"/>
  <sheetViews>
    <sheetView zoomScaleNormal="100" workbookViewId="0">
      <selection activeCell="A48" sqref="A48:A49"/>
    </sheetView>
  </sheetViews>
  <sheetFormatPr defaultRowHeight="15" x14ac:dyDescent="0.25"/>
  <cols>
    <col min="1" max="1" width="10.28515625" customWidth="1"/>
    <col min="2" max="26" width="11.28515625" bestFit="1" customWidth="1"/>
  </cols>
  <sheetData>
    <row r="40" spans="1:26" x14ac:dyDescent="0.25">
      <c r="A40" s="2"/>
      <c r="B40" s="7" t="str">
        <f>'nastavit-mesic'!Z22</f>
        <v>2011-09</v>
      </c>
      <c r="C40" s="7" t="str">
        <f>'nastavit-mesic'!Y22</f>
        <v>2011-10</v>
      </c>
      <c r="D40" s="7" t="str">
        <f>'nastavit-mesic'!X22</f>
        <v>2011-11</v>
      </c>
      <c r="E40" s="7" t="str">
        <f>'nastavit-mesic'!W22</f>
        <v>2011-12</v>
      </c>
      <c r="F40" s="7" t="str">
        <f>'nastavit-mesic'!V22</f>
        <v>2012-01</v>
      </c>
      <c r="G40" s="7" t="str">
        <f>'nastavit-mesic'!U22</f>
        <v>2012-02</v>
      </c>
      <c r="H40" s="7" t="str">
        <f>'nastavit-mesic'!T22</f>
        <v>2012-03</v>
      </c>
      <c r="I40" s="7" t="str">
        <f>'nastavit-mesic'!S22</f>
        <v>2012-04</v>
      </c>
      <c r="J40" s="7" t="str">
        <f>'nastavit-mesic'!R22</f>
        <v>2012-05</v>
      </c>
      <c r="K40" s="7" t="str">
        <f>'nastavit-mesic'!Q22</f>
        <v>2012-06</v>
      </c>
      <c r="L40" s="7" t="str">
        <f>'nastavit-mesic'!P22</f>
        <v>2012-07</v>
      </c>
      <c r="M40" s="7" t="str">
        <f>'nastavit-mesic'!O22</f>
        <v>2012-08</v>
      </c>
      <c r="N40" s="7" t="str">
        <f>'nastavit-mesic'!N22</f>
        <v>2012-09</v>
      </c>
      <c r="O40" s="7" t="str">
        <f>'nastavit-mesic'!M22</f>
        <v>2012-10</v>
      </c>
      <c r="P40" s="7" t="str">
        <f>'nastavit-mesic'!L22</f>
        <v>2012-11</v>
      </c>
      <c r="Q40" s="7" t="str">
        <f>'nastavit-mesic'!K22</f>
        <v>2012-12</v>
      </c>
      <c r="R40" s="7" t="str">
        <f>'nastavit-mesic'!J22</f>
        <v>2013-01</v>
      </c>
      <c r="S40" s="7" t="str">
        <f>'nastavit-mesic'!I22</f>
        <v>2013-02</v>
      </c>
      <c r="T40" s="7" t="str">
        <f>'nastavit-mesic'!H22</f>
        <v>2013-03</v>
      </c>
      <c r="U40" s="7" t="str">
        <f>'nastavit-mesic'!G22</f>
        <v>2013-04</v>
      </c>
      <c r="V40" s="7" t="str">
        <f>'nastavit-mesic'!F22</f>
        <v>2013-05</v>
      </c>
      <c r="W40" s="7" t="str">
        <f>'nastavit-mesic'!E22</f>
        <v>2013-06</v>
      </c>
      <c r="X40" s="7" t="str">
        <f>'nastavit-mesic'!D22</f>
        <v>2013-07</v>
      </c>
      <c r="Y40" s="7" t="str">
        <f>'nastavit-mesic'!C22</f>
        <v>2013-08</v>
      </c>
      <c r="Z40" s="7" t="str">
        <f>'nastavit-mesic'!B22</f>
        <v>2013-09</v>
      </c>
    </row>
    <row r="41" spans="1:26" x14ac:dyDescent="0.25">
      <c r="A41" t="s">
        <v>0</v>
      </c>
      <c r="B41" s="3">
        <f>'nastavit-mesic'!Z23</f>
        <v>259182.99575822023</v>
      </c>
      <c r="C41" s="3">
        <f>'nastavit-mesic'!Y23</f>
        <v>312937.82923610043</v>
      </c>
      <c r="D41" s="3">
        <f>'nastavit-mesic'!X23</f>
        <v>282799.20436451142</v>
      </c>
      <c r="E41" s="3">
        <f>'nastavit-mesic'!W23</f>
        <v>359408.82739005343</v>
      </c>
      <c r="F41" s="3">
        <f>'nastavit-mesic'!V23</f>
        <v>294964.13362251525</v>
      </c>
      <c r="G41" s="3">
        <f>'nastavit-mesic'!U23</f>
        <v>340700.16779380722</v>
      </c>
      <c r="H41" s="3">
        <f>'nastavit-mesic'!T23</f>
        <v>293408.45393242186</v>
      </c>
      <c r="I41" s="3">
        <f>'nastavit-mesic'!S23</f>
        <v>247288.25782432366</v>
      </c>
      <c r="J41" s="3">
        <f>'nastavit-mesic'!R23</f>
        <v>262486.25861623732</v>
      </c>
      <c r="K41" s="3">
        <f>'nastavit-mesic'!Q23</f>
        <v>258127.52860899371</v>
      </c>
      <c r="L41" s="3">
        <f>'nastavit-mesic'!P23</f>
        <v>228412.62486512095</v>
      </c>
      <c r="M41" s="3">
        <f>'nastavit-mesic'!O23</f>
        <v>211783.96122869905</v>
      </c>
      <c r="N41" s="3">
        <f>'nastavit-mesic'!N23</f>
        <v>219079.55931454146</v>
      </c>
      <c r="O41" s="3">
        <f>'nastavit-mesic'!M23</f>
        <v>275706.10255108646</v>
      </c>
      <c r="P41" s="3">
        <f>'nastavit-mesic'!L23</f>
        <v>329350.95249983104</v>
      </c>
      <c r="Q41" s="3">
        <f>'nastavit-mesic'!K23</f>
        <v>309457.89869520633</v>
      </c>
      <c r="R41" s="3">
        <f>'nastavit-mesic'!J23</f>
        <v>302334.57145454793</v>
      </c>
      <c r="S41" s="3">
        <f>'nastavit-mesic'!I23</f>
        <v>202099.70883003296</v>
      </c>
      <c r="T41" s="3">
        <f>'nastavit-mesic'!H23</f>
        <v>224330.26516402839</v>
      </c>
      <c r="U41" s="3">
        <f>'nastavit-mesic'!G23</f>
        <v>253551.3786209414</v>
      </c>
      <c r="V41" s="3">
        <f>'nastavit-mesic'!F23</f>
        <v>272171.6258886978</v>
      </c>
      <c r="W41" s="3">
        <f>'nastavit-mesic'!E23</f>
        <v>253388.1492576765</v>
      </c>
      <c r="X41" s="3">
        <f>'nastavit-mesic'!D23</f>
        <v>300977.29365931422</v>
      </c>
      <c r="Y41" s="3">
        <f>'nastavit-mesic'!C23</f>
        <v>273927.20323677547</v>
      </c>
      <c r="Z41" s="3">
        <f>'nastavit-mesic'!B23</f>
        <v>236874.19029893522</v>
      </c>
    </row>
    <row r="42" spans="1:26" x14ac:dyDescent="0.25">
      <c r="A42" t="s">
        <v>1</v>
      </c>
      <c r="B42" s="3">
        <f>'nastavit-mesic'!Z24</f>
        <v>4196.5432271161799</v>
      </c>
      <c r="C42" s="3">
        <f>'nastavit-mesic'!Y24</f>
        <v>5880.3301163259484</v>
      </c>
      <c r="D42" s="3">
        <f>'nastavit-mesic'!X24</f>
        <v>6174.6797286259871</v>
      </c>
      <c r="E42" s="3">
        <f>'nastavit-mesic'!W24</f>
        <v>8076.0450361772819</v>
      </c>
      <c r="F42" s="3">
        <f>'nastavit-mesic'!V24</f>
        <v>5739.6203549920083</v>
      </c>
      <c r="G42" s="3">
        <f>'nastavit-mesic'!U24</f>
        <v>4664.2789572305037</v>
      </c>
      <c r="H42" s="3">
        <f>'nastavit-mesic'!T24</f>
        <v>4099.2263776107484</v>
      </c>
      <c r="I42" s="3">
        <f>'nastavit-mesic'!S24</f>
        <v>3576.7472171729246</v>
      </c>
      <c r="J42" s="3">
        <f>'nastavit-mesic'!R24</f>
        <v>4795.0268465030531</v>
      </c>
      <c r="K42" s="3">
        <f>'nastavit-mesic'!Q24</f>
        <v>4526.0366671382435</v>
      </c>
      <c r="L42" s="3">
        <f>'nastavit-mesic'!P24</f>
        <v>4317.0639671233203</v>
      </c>
      <c r="M42" s="3">
        <f>'nastavit-mesic'!O24</f>
        <v>4371.5635288850626</v>
      </c>
      <c r="N42" s="3">
        <f>'nastavit-mesic'!N24</f>
        <v>3357.4838358702168</v>
      </c>
      <c r="O42" s="3">
        <f>'nastavit-mesic'!M24</f>
        <v>5613.5092584437134</v>
      </c>
      <c r="P42" s="3">
        <f>'nastavit-mesic'!L24</f>
        <v>5802.2784283342462</v>
      </c>
      <c r="Q42" s="3">
        <f>'nastavit-mesic'!K24</f>
        <v>6498.0563986963762</v>
      </c>
      <c r="R42" s="3">
        <f>'nastavit-mesic'!J24</f>
        <v>4647.2899155403893</v>
      </c>
      <c r="S42" s="3">
        <f>'nastavit-mesic'!I24</f>
        <v>3691.8293032904539</v>
      </c>
      <c r="T42" s="3">
        <f>'nastavit-mesic'!H24</f>
        <v>4116.2655511659786</v>
      </c>
      <c r="U42" s="3">
        <f>'nastavit-mesic'!G24</f>
        <v>4637.1529333406843</v>
      </c>
      <c r="V42" s="3">
        <f>'nastavit-mesic'!F24</f>
        <v>4139.253368002931</v>
      </c>
      <c r="W42" s="3">
        <f>'nastavit-mesic'!E24</f>
        <v>4291.2784544376391</v>
      </c>
      <c r="X42" s="3">
        <f>'nastavit-mesic'!D24</f>
        <v>5975.6024233546095</v>
      </c>
      <c r="Y42" s="3">
        <f>'nastavit-mesic'!C24</f>
        <v>4013.3592037143926</v>
      </c>
      <c r="Z42" s="3">
        <f>'nastavit-mesic'!B24</f>
        <v>4030.3621809508832</v>
      </c>
    </row>
    <row r="43" spans="1:26" x14ac:dyDescent="0.25">
      <c r="A43" t="s">
        <v>2</v>
      </c>
      <c r="B43" s="4">
        <f>'nastavit-mesic'!Z25</f>
        <v>5612646.0578581598</v>
      </c>
      <c r="C43" s="4">
        <f>'nastavit-mesic'!Y25</f>
        <v>7072228.8479274716</v>
      </c>
      <c r="D43" s="4">
        <f>'nastavit-mesic'!X25</f>
        <v>7509243.464232482</v>
      </c>
      <c r="E43" s="4">
        <f>'nastavit-mesic'!W25</f>
        <v>7148919.5873548137</v>
      </c>
      <c r="F43" s="4">
        <f>'nastavit-mesic'!V25</f>
        <v>6082847.5399525799</v>
      </c>
      <c r="G43" s="4">
        <f>'nastavit-mesic'!U25</f>
        <v>6929551.8627636638</v>
      </c>
      <c r="H43" s="4">
        <f>'nastavit-mesic'!T25</f>
        <v>8007332.5507222302</v>
      </c>
      <c r="I43" s="4">
        <f>'nastavit-mesic'!S25</f>
        <v>6060213.5957851447</v>
      </c>
      <c r="J43" s="4">
        <f>'nastavit-mesic'!R25</f>
        <v>6436799.6306412034</v>
      </c>
      <c r="K43" s="4">
        <f>'nastavit-mesic'!Q25</f>
        <v>8104093.6022918709</v>
      </c>
      <c r="L43" s="4">
        <f>'nastavit-mesic'!P25</f>
        <v>7273887.0403815582</v>
      </c>
      <c r="M43" s="4">
        <f>'nastavit-mesic'!O25</f>
        <v>6795866.6386971883</v>
      </c>
      <c r="N43" s="4">
        <f>'nastavit-mesic'!N25</f>
        <v>4853668.767344987</v>
      </c>
      <c r="O43" s="4">
        <f>'nastavit-mesic'!M25</f>
        <v>7625258.1607867638</v>
      </c>
      <c r="P43" s="4">
        <f>'nastavit-mesic'!L25</f>
        <v>7870739.3513646908</v>
      </c>
      <c r="Q43" s="4">
        <f>'nastavit-mesic'!K25</f>
        <v>8776518.8460085019</v>
      </c>
      <c r="R43" s="4">
        <f>'nastavit-mesic'!J25</f>
        <v>7459715.9008394042</v>
      </c>
      <c r="S43" s="4">
        <f>'nastavit-mesic'!I25</f>
        <v>5362049.4908932131</v>
      </c>
      <c r="T43" s="4">
        <f>'nastavit-mesic'!H25</f>
        <v>5927628.751073245</v>
      </c>
      <c r="U43" s="4">
        <f>'nastavit-mesic'!G25</f>
        <v>6888437.3192536756</v>
      </c>
      <c r="V43" s="4">
        <f>'nastavit-mesic'!F25</f>
        <v>5329917.5062825587</v>
      </c>
      <c r="W43" s="4">
        <f>'nastavit-mesic'!E25</f>
        <v>5690875.5160267651</v>
      </c>
      <c r="X43" s="4">
        <f>'nastavit-mesic'!D25</f>
        <v>10117909.344171729</v>
      </c>
      <c r="Y43" s="4">
        <f>'nastavit-mesic'!C25</f>
        <v>8613068.6410574745</v>
      </c>
      <c r="Z43" s="4">
        <f>'nastavit-mesic'!B25</f>
        <v>5732651.6271258974</v>
      </c>
    </row>
    <row r="44" spans="1:26" x14ac:dyDescent="0.25">
      <c r="A44" t="s">
        <v>3</v>
      </c>
      <c r="B44" s="5">
        <f t="shared" ref="B44:Z44" si="0">B42/B41</f>
        <v>1.6191429591434076E-2</v>
      </c>
      <c r="C44" s="5">
        <f t="shared" si="0"/>
        <v>1.8790729553790856E-2</v>
      </c>
      <c r="D44" s="5">
        <f t="shared" si="0"/>
        <v>2.1834148163540061E-2</v>
      </c>
      <c r="E44" s="5">
        <f t="shared" si="0"/>
        <v>2.247035804552636E-2</v>
      </c>
      <c r="F44" s="5">
        <f t="shared" si="0"/>
        <v>1.9458705994191732E-2</v>
      </c>
      <c r="G44" s="5">
        <f t="shared" si="0"/>
        <v>1.3690274904863972E-2</v>
      </c>
      <c r="H44" s="5">
        <f t="shared" si="0"/>
        <v>1.3971057488871423E-2</v>
      </c>
      <c r="I44" s="5">
        <f t="shared" si="0"/>
        <v>1.4463878101781466E-2</v>
      </c>
      <c r="J44" s="5">
        <f t="shared" si="0"/>
        <v>1.8267725220288671E-2</v>
      </c>
      <c r="K44" s="5">
        <f t="shared" si="0"/>
        <v>1.7534110722433605E-2</v>
      </c>
      <c r="L44" s="5">
        <f t="shared" si="0"/>
        <v>1.890028613642776E-2</v>
      </c>
      <c r="M44" s="5">
        <f t="shared" si="0"/>
        <v>2.0641617540453617E-2</v>
      </c>
      <c r="N44" s="5">
        <f t="shared" si="0"/>
        <v>1.5325408935343622E-2</v>
      </c>
      <c r="O44" s="5">
        <f t="shared" si="0"/>
        <v>2.0360482435834253E-2</v>
      </c>
      <c r="P44" s="5">
        <f t="shared" si="0"/>
        <v>1.7617311819789629E-2</v>
      </c>
      <c r="Q44" s="5">
        <f t="shared" si="0"/>
        <v>2.0998192083946425E-2</v>
      </c>
      <c r="R44" s="5">
        <f t="shared" si="0"/>
        <v>1.5371348017469609E-2</v>
      </c>
      <c r="S44" s="5">
        <f t="shared" si="0"/>
        <v>1.826736577040447E-2</v>
      </c>
      <c r="T44" s="5">
        <f t="shared" si="0"/>
        <v>1.8349131572399292E-2</v>
      </c>
      <c r="U44" s="5">
        <f t="shared" si="0"/>
        <v>1.8288809781126115E-2</v>
      </c>
      <c r="V44" s="5">
        <f t="shared" si="0"/>
        <v>1.5208247202431168E-2</v>
      </c>
      <c r="W44" s="5">
        <f t="shared" si="0"/>
        <v>1.6935592556358011E-2</v>
      </c>
      <c r="X44" s="5">
        <f t="shared" si="0"/>
        <v>1.9853997458421511E-2</v>
      </c>
      <c r="Y44" s="5">
        <f t="shared" si="0"/>
        <v>1.4651188915492086E-2</v>
      </c>
      <c r="Z44" s="5">
        <f t="shared" si="0"/>
        <v>1.7014779769229254E-2</v>
      </c>
    </row>
    <row r="48" spans="1:26" ht="18.75" x14ac:dyDescent="0.3">
      <c r="A48" s="107" t="s">
        <v>186</v>
      </c>
    </row>
    <row r="49" spans="1:1" x14ac:dyDescent="0.25">
      <c r="A49" s="106" t="s">
        <v>187</v>
      </c>
    </row>
  </sheetData>
  <hyperlinks>
    <hyperlink ref="A49" r:id="rId1"/>
  </hyperlinks>
  <pageMargins left="0.70866141732283472" right="0.70866141732283472" top="0.78740157480314965" bottom="0.78740157480314965" header="0.31496062992125984" footer="0.31496062992125984"/>
  <pageSetup paperSize="9" orientation="landscape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7:AB84"/>
  <sheetViews>
    <sheetView workbookViewId="0">
      <selection activeCell="A83" sqref="A83:A84"/>
    </sheetView>
  </sheetViews>
  <sheetFormatPr defaultRowHeight="15" x14ac:dyDescent="0.25"/>
  <cols>
    <col min="1" max="1" width="21.140625" customWidth="1"/>
    <col min="2" max="2" width="14.140625" customWidth="1"/>
    <col min="3" max="3" width="12" customWidth="1"/>
    <col min="4" max="6" width="11.28515625" bestFit="1" customWidth="1"/>
    <col min="7" max="7" width="13.5703125" customWidth="1"/>
    <col min="8" max="8" width="11.28515625" bestFit="1" customWidth="1"/>
    <col min="9" max="9" width="11.140625" customWidth="1"/>
    <col min="10" max="12" width="11.28515625" bestFit="1" customWidth="1"/>
    <col min="13" max="13" width="11.5703125" customWidth="1"/>
    <col min="14" max="17" width="11.28515625" bestFit="1" customWidth="1"/>
    <col min="18" max="18" width="9.85546875" bestFit="1" customWidth="1"/>
    <col min="19" max="25" width="11.28515625" bestFit="1" customWidth="1"/>
  </cols>
  <sheetData>
    <row r="37" spans="1:9" x14ac:dyDescent="0.25">
      <c r="A37" s="1" t="s">
        <v>110</v>
      </c>
      <c r="B37" s="18"/>
      <c r="C37" s="18"/>
      <c r="D37" s="18"/>
    </row>
    <row r="38" spans="1:9" x14ac:dyDescent="0.25">
      <c r="A38" s="52"/>
      <c r="B38" s="54" t="str">
        <f>'nastavit-mesic'!B5</f>
        <v>2013-09</v>
      </c>
      <c r="C38" s="55" t="s">
        <v>108</v>
      </c>
      <c r="D38" s="26" t="str">
        <f>'nastavit-mesic'!B6</f>
        <v>2012-09</v>
      </c>
    </row>
    <row r="39" spans="1:9" x14ac:dyDescent="0.25">
      <c r="A39" s="53" t="s">
        <v>0</v>
      </c>
      <c r="B39" s="47">
        <f>Y60</f>
        <v>67254.796128580099</v>
      </c>
      <c r="C39" s="48">
        <f>(B39-D39)/D39</f>
        <v>-4.5629508118249056E-2</v>
      </c>
      <c r="D39" s="23">
        <f>M60</f>
        <v>70470.322270727906</v>
      </c>
    </row>
    <row r="40" spans="1:9" x14ac:dyDescent="0.25">
      <c r="A40" s="53" t="s">
        <v>1</v>
      </c>
      <c r="B40" s="47">
        <f>Y61</f>
        <v>1171.7634414936463</v>
      </c>
      <c r="C40" s="48">
        <f t="shared" ref="C40:C43" si="0">(B40-D40)/D40</f>
        <v>0.19611446676797281</v>
      </c>
      <c r="D40" s="23">
        <f>M61</f>
        <v>979.64155944027198</v>
      </c>
    </row>
    <row r="41" spans="1:9" x14ac:dyDescent="0.25">
      <c r="A41" s="53" t="s">
        <v>2</v>
      </c>
      <c r="B41" s="49">
        <f>Y62</f>
        <v>1741411.3256157408</v>
      </c>
      <c r="C41" s="48">
        <f t="shared" si="0"/>
        <v>0.54317520575068345</v>
      </c>
      <c r="D41" s="24">
        <f>M62</f>
        <v>1128459.8917390101</v>
      </c>
    </row>
    <row r="42" spans="1:9" x14ac:dyDescent="0.25">
      <c r="A42" s="53" t="s">
        <v>3</v>
      </c>
      <c r="B42" s="50">
        <f>B40/B39</f>
        <v>1.7422749141242321E-2</v>
      </c>
      <c r="C42" s="48">
        <f t="shared" si="0"/>
        <v>0.25330202153418485</v>
      </c>
      <c r="D42" s="25">
        <f>D40/D39</f>
        <v>1.3901476932044588E-2</v>
      </c>
    </row>
    <row r="43" spans="1:9" x14ac:dyDescent="0.25">
      <c r="A43" s="53" t="s">
        <v>156</v>
      </c>
      <c r="B43" s="49">
        <f>B41/B40</f>
        <v>1486.1458072082917</v>
      </c>
      <c r="C43" s="48">
        <f t="shared" si="0"/>
        <v>0.29015679404037753</v>
      </c>
      <c r="D43" s="24">
        <f>D41/D40</f>
        <v>1151.911003432487</v>
      </c>
    </row>
    <row r="45" spans="1:9" x14ac:dyDescent="0.25">
      <c r="A45" s="1" t="s">
        <v>179</v>
      </c>
      <c r="B45" s="18"/>
      <c r="C45" s="18"/>
      <c r="D45" s="18"/>
      <c r="F45" s="1" t="s">
        <v>180</v>
      </c>
      <c r="G45" s="18"/>
      <c r="H45" s="18"/>
      <c r="I45" s="18"/>
    </row>
    <row r="46" spans="1:9" x14ac:dyDescent="0.25">
      <c r="A46" s="28"/>
      <c r="B46" s="29" t="str">
        <f>'nastavit-mesic'!B5</f>
        <v>2013-09</v>
      </c>
      <c r="C46" s="33" t="s">
        <v>108</v>
      </c>
      <c r="D46" s="26" t="str">
        <f>'nastavit-mesic'!B6</f>
        <v>2012-09</v>
      </c>
      <c r="F46" s="28"/>
      <c r="G46" s="29" t="str">
        <f>'nastavit-mesic'!B5</f>
        <v>2013-09</v>
      </c>
      <c r="H46" s="33" t="s">
        <v>108</v>
      </c>
      <c r="I46" s="26" t="str">
        <f>'nastavit-mesic'!B6</f>
        <v>2012-09</v>
      </c>
    </row>
    <row r="47" spans="1:9" x14ac:dyDescent="0.25">
      <c r="A47" s="27" t="s">
        <v>0</v>
      </c>
      <c r="B47" s="30">
        <f>Y65</f>
        <v>29616.422423864828</v>
      </c>
      <c r="C47" s="34">
        <f>(B47-D47)/D47</f>
        <v>-0.25903375247615706</v>
      </c>
      <c r="D47" s="23">
        <f>M65</f>
        <v>39970.002038334176</v>
      </c>
      <c r="F47" s="27" t="s">
        <v>0</v>
      </c>
      <c r="G47" s="30">
        <f>Y70</f>
        <v>45050.98840645561</v>
      </c>
      <c r="H47" s="34">
        <f>(G47-I47)/I47</f>
        <v>-0.17485360704917288</v>
      </c>
      <c r="I47" s="23">
        <f>M70</f>
        <v>54597.570553932397</v>
      </c>
    </row>
    <row r="48" spans="1:9" x14ac:dyDescent="0.25">
      <c r="A48" s="27" t="s">
        <v>1</v>
      </c>
      <c r="B48" s="30">
        <f>Y66</f>
        <v>530.03943989809648</v>
      </c>
      <c r="C48" s="34">
        <f t="shared" ref="C48:C51" si="1">(B48-D48)/D48</f>
        <v>0.72195206574397253</v>
      </c>
      <c r="D48" s="23">
        <f>M66</f>
        <v>307.81312119108958</v>
      </c>
      <c r="F48" s="27" t="s">
        <v>1</v>
      </c>
      <c r="G48" s="30">
        <f>Y71</f>
        <v>602.5925256963003</v>
      </c>
      <c r="H48" s="34">
        <f t="shared" ref="H48:H51" si="2">(G48-I48)/I48</f>
        <v>0.24550094301940717</v>
      </c>
      <c r="I48" s="23">
        <f>M71</f>
        <v>483.81539096667774</v>
      </c>
    </row>
    <row r="49" spans="1:28" x14ac:dyDescent="0.25">
      <c r="A49" s="27" t="s">
        <v>2</v>
      </c>
      <c r="B49" s="31">
        <f>Y67</f>
        <v>708702.74003210186</v>
      </c>
      <c r="C49" s="34">
        <f t="shared" si="1"/>
        <v>5.1318682367636599E-2</v>
      </c>
      <c r="D49" s="24">
        <f>M67</f>
        <v>674108.38589499635</v>
      </c>
      <c r="F49" s="27" t="s">
        <v>2</v>
      </c>
      <c r="G49" s="31">
        <f>Y72</f>
        <v>1162290.6163499961</v>
      </c>
      <c r="H49" s="34">
        <f t="shared" si="2"/>
        <v>0.23082539863899651</v>
      </c>
      <c r="I49" s="24">
        <f>M72</f>
        <v>944318.03051449556</v>
      </c>
    </row>
    <row r="50" spans="1:28" x14ac:dyDescent="0.25">
      <c r="A50" s="27" t="s">
        <v>3</v>
      </c>
      <c r="B50" s="32">
        <f>B48/B47</f>
        <v>1.7896808477143825E-2</v>
      </c>
      <c r="C50" s="34">
        <f t="shared" si="1"/>
        <v>1.3239278057514534</v>
      </c>
      <c r="D50" s="25">
        <f>D48/D47</f>
        <v>7.7011034649403847E-3</v>
      </c>
      <c r="F50" s="27" t="s">
        <v>3</v>
      </c>
      <c r="G50" s="32">
        <f>G48/G47</f>
        <v>1.3375789233737464E-2</v>
      </c>
      <c r="H50" s="34">
        <f t="shared" si="2"/>
        <v>0.50943027038552424</v>
      </c>
      <c r="I50" s="25">
        <f>I48/I47</f>
        <v>8.8614820413805192E-3</v>
      </c>
    </row>
    <row r="51" spans="1:28" x14ac:dyDescent="0.25">
      <c r="A51" s="27" t="s">
        <v>156</v>
      </c>
      <c r="B51" s="31">
        <f>B49/B48</f>
        <v>1337.0754828515301</v>
      </c>
      <c r="C51" s="34">
        <f t="shared" si="1"/>
        <v>-0.38946112189632154</v>
      </c>
      <c r="D51" s="24">
        <f>D49/D48</f>
        <v>2189.9923670781782</v>
      </c>
      <c r="F51" s="27" t="s">
        <v>156</v>
      </c>
      <c r="G51" s="31">
        <f>G49/G48</f>
        <v>1928.8168485112892</v>
      </c>
      <c r="H51" s="34">
        <f t="shared" si="2"/>
        <v>-1.1782844856651438E-2</v>
      </c>
      <c r="I51" s="24">
        <f>I49/I48</f>
        <v>1951.8147792440411</v>
      </c>
    </row>
    <row r="57" spans="1:28" ht="167.25" customHeight="1" x14ac:dyDescent="0.25"/>
    <row r="58" spans="1:28" x14ac:dyDescent="0.25">
      <c r="M58" s="1" t="s">
        <v>109</v>
      </c>
      <c r="Y58" s="1" t="s">
        <v>33</v>
      </c>
    </row>
    <row r="59" spans="1:28" x14ac:dyDescent="0.25">
      <c r="A59" s="2"/>
      <c r="B59" s="7" t="str">
        <f>'nastavit-mesic'!Z22</f>
        <v>2011-09</v>
      </c>
      <c r="C59" s="7" t="str">
        <f>'nastavit-mesic'!Y22</f>
        <v>2011-10</v>
      </c>
      <c r="D59" s="7" t="str">
        <f>'nastavit-mesic'!X22</f>
        <v>2011-11</v>
      </c>
      <c r="E59" s="7" t="str">
        <f>'nastavit-mesic'!W22</f>
        <v>2011-12</v>
      </c>
      <c r="F59" s="7" t="str">
        <f>'nastavit-mesic'!V22</f>
        <v>2012-01</v>
      </c>
      <c r="G59" s="7" t="str">
        <f>'nastavit-mesic'!U22</f>
        <v>2012-02</v>
      </c>
      <c r="H59" s="7" t="str">
        <f>'nastavit-mesic'!T22</f>
        <v>2012-03</v>
      </c>
      <c r="I59" s="7" t="str">
        <f>'nastavit-mesic'!S22</f>
        <v>2012-04</v>
      </c>
      <c r="J59" s="7" t="str">
        <f>'nastavit-mesic'!Q22</f>
        <v>2012-06</v>
      </c>
      <c r="K59" s="7" t="str">
        <f>'nastavit-mesic'!P22</f>
        <v>2012-07</v>
      </c>
      <c r="L59" s="7" t="str">
        <f>'nastavit-mesic'!O22</f>
        <v>2012-08</v>
      </c>
      <c r="M59" s="35" t="str">
        <f>'nastavit-mesic'!N22</f>
        <v>2012-09</v>
      </c>
      <c r="N59" s="7" t="str">
        <f>'nastavit-mesic'!M22</f>
        <v>2012-10</v>
      </c>
      <c r="O59" s="7" t="str">
        <f>'nastavit-mesic'!L22</f>
        <v>2012-11</v>
      </c>
      <c r="P59" s="7" t="str">
        <f>'nastavit-mesic'!K22</f>
        <v>2012-12</v>
      </c>
      <c r="Q59" s="7" t="str">
        <f>'nastavit-mesic'!J22</f>
        <v>2013-01</v>
      </c>
      <c r="R59" s="7" t="str">
        <f>'nastavit-mesic'!I22</f>
        <v>2013-02</v>
      </c>
      <c r="S59" s="7" t="str">
        <f>'nastavit-mesic'!H22</f>
        <v>2013-03</v>
      </c>
      <c r="T59" s="7" t="str">
        <f>'nastavit-mesic'!G22</f>
        <v>2013-04</v>
      </c>
      <c r="U59" s="7" t="str">
        <f>'nastavit-mesic'!F22</f>
        <v>2013-05</v>
      </c>
      <c r="V59" s="7" t="str">
        <f>'nastavit-mesic'!E22</f>
        <v>2013-06</v>
      </c>
      <c r="W59" s="7" t="str">
        <f>'nastavit-mesic'!D22</f>
        <v>2013-07</v>
      </c>
      <c r="X59" s="7" t="str">
        <f>'nastavit-mesic'!C22</f>
        <v>2013-08</v>
      </c>
      <c r="Y59" s="39" t="str">
        <f>'nastavit-mesic'!B22</f>
        <v>2013-09</v>
      </c>
      <c r="Z59" s="7"/>
      <c r="AA59" s="7"/>
      <c r="AB59" s="7"/>
    </row>
    <row r="60" spans="1:28" s="3" customFormat="1" x14ac:dyDescent="0.25">
      <c r="A60" s="3" t="str">
        <f>'nastavit-mesic'!A28</f>
        <v>organic - Návštěvy</v>
      </c>
      <c r="B60" s="3">
        <f>'nastavit-mesic'!Z28</f>
        <v>99656.742747810174</v>
      </c>
      <c r="C60" s="20">
        <f>'nastavit-mesic'!Y28</f>
        <v>80064.502495705034</v>
      </c>
      <c r="D60" s="20">
        <f>'nastavit-mesic'!X28</f>
        <v>68371.299986079393</v>
      </c>
      <c r="E60" s="20">
        <f>'nastavit-mesic'!W28</f>
        <v>87449.295353422916</v>
      </c>
      <c r="F60" s="20">
        <f>'nastavit-mesic'!V28</f>
        <v>78103.011569383685</v>
      </c>
      <c r="G60" s="20">
        <f>'nastavit-mesic'!U28</f>
        <v>122182.86486047367</v>
      </c>
      <c r="H60" s="20">
        <f>'nastavit-mesic'!T28</f>
        <v>78205.523463715814</v>
      </c>
      <c r="I60" s="20">
        <f>'nastavit-mesic'!S28</f>
        <v>86218.631306354539</v>
      </c>
      <c r="J60" s="20">
        <f>'nastavit-mesic'!Q28</f>
        <v>80377.725261953587</v>
      </c>
      <c r="K60" s="20">
        <f>'nastavit-mesic'!P28</f>
        <v>82380.737529712598</v>
      </c>
      <c r="L60" s="20">
        <f>'nastavit-mesic'!O28</f>
        <v>53687.036697150113</v>
      </c>
      <c r="M60" s="36">
        <f>'nastavit-mesic'!N28</f>
        <v>70470.322270727906</v>
      </c>
      <c r="N60" s="20">
        <f>'nastavit-mesic'!M28</f>
        <v>80811.045933507135</v>
      </c>
      <c r="O60" s="20">
        <f>'nastavit-mesic'!L28</f>
        <v>99236.506563698524</v>
      </c>
      <c r="P60" s="20">
        <f>'nastavit-mesic'!K28</f>
        <v>108978.76545963682</v>
      </c>
      <c r="Q60" s="20">
        <f>'nastavit-mesic'!J28</f>
        <v>94297.805145445789</v>
      </c>
      <c r="R60" s="20">
        <f>'nastavit-mesic'!I28</f>
        <v>79799.250685004503</v>
      </c>
      <c r="S60" s="20">
        <f>'nastavit-mesic'!H28</f>
        <v>66704.643397366395</v>
      </c>
      <c r="T60" s="20">
        <f>'nastavit-mesic'!G28</f>
        <v>66959.510983824061</v>
      </c>
      <c r="U60" s="20">
        <f>'nastavit-mesic'!F28</f>
        <v>90304.186882486058</v>
      </c>
      <c r="V60" s="20">
        <f>'nastavit-mesic'!E28</f>
        <v>81793.447129666965</v>
      </c>
      <c r="W60" s="20">
        <f>'nastavit-mesic'!D28</f>
        <v>61163.218020243228</v>
      </c>
      <c r="X60" s="20">
        <f>'nastavit-mesic'!C28</f>
        <v>67628.705168956119</v>
      </c>
      <c r="Y60" s="40">
        <f>'nastavit-mesic'!B28</f>
        <v>67254.796128580099</v>
      </c>
    </row>
    <row r="61" spans="1:28" s="3" customFormat="1" x14ac:dyDescent="0.25">
      <c r="A61" s="3" t="str">
        <f>'nastavit-mesic'!A29</f>
        <v>organic - Transakce</v>
      </c>
      <c r="B61" s="3">
        <f>'nastavit-mesic'!Z29</f>
        <v>1338.0217617613312</v>
      </c>
      <c r="C61" s="20">
        <f>'nastavit-mesic'!Y29</f>
        <v>915.9311891106297</v>
      </c>
      <c r="D61" s="20">
        <f>'nastavit-mesic'!X29</f>
        <v>2095.2410032518196</v>
      </c>
      <c r="E61" s="20">
        <f>'nastavit-mesic'!W29</f>
        <v>1927.553410986246</v>
      </c>
      <c r="F61" s="20">
        <f>'nastavit-mesic'!V29</f>
        <v>1414.8480396407392</v>
      </c>
      <c r="G61" s="20">
        <f>'nastavit-mesic'!U29</f>
        <v>1386.3539428878303</v>
      </c>
      <c r="H61" s="20">
        <f>'nastavit-mesic'!T29</f>
        <v>1275.1140435702716</v>
      </c>
      <c r="I61" s="20">
        <f>'nastavit-mesic'!S29</f>
        <v>719.79215071305566</v>
      </c>
      <c r="J61" s="20">
        <f>'nastavit-mesic'!Q29</f>
        <v>1408.5295333702888</v>
      </c>
      <c r="K61" s="20">
        <f>'nastavit-mesic'!P29</f>
        <v>860.54138420940171</v>
      </c>
      <c r="L61" s="20">
        <f>'nastavit-mesic'!O29</f>
        <v>1370.5527258521317</v>
      </c>
      <c r="M61" s="36">
        <f>'nastavit-mesic'!N29</f>
        <v>979.64155944027198</v>
      </c>
      <c r="N61" s="20">
        <f>'nastavit-mesic'!M29</f>
        <v>1012.9135641967874</v>
      </c>
      <c r="O61" s="20">
        <f>'nastavit-mesic'!L29</f>
        <v>1373.5186293758613</v>
      </c>
      <c r="P61" s="20">
        <f>'nastavit-mesic'!K29</f>
        <v>1613.0355316069208</v>
      </c>
      <c r="Q61" s="20">
        <f>'nastavit-mesic'!J29</f>
        <v>1061.109895990729</v>
      </c>
      <c r="R61" s="20">
        <f>'nastavit-mesic'!I29</f>
        <v>790.12340249134218</v>
      </c>
      <c r="S61" s="20">
        <f>'nastavit-mesic'!H29</f>
        <v>1185.5963508377886</v>
      </c>
      <c r="T61" s="20">
        <f>'nastavit-mesic'!G29</f>
        <v>1783.5372855110354</v>
      </c>
      <c r="U61" s="20">
        <f>'nastavit-mesic'!F29</f>
        <v>958.53599812406173</v>
      </c>
      <c r="V61" s="20">
        <f>'nastavit-mesic'!E29</f>
        <v>1277.3881614305601</v>
      </c>
      <c r="W61" s="20">
        <f>'nastavit-mesic'!D29</f>
        <v>1665.1200265176537</v>
      </c>
      <c r="X61" s="20">
        <f>'nastavit-mesic'!C29</f>
        <v>1051.1497275018683</v>
      </c>
      <c r="Y61" s="40">
        <f>'nastavit-mesic'!B29</f>
        <v>1171.7634414936463</v>
      </c>
    </row>
    <row r="62" spans="1:28" s="19" customFormat="1" x14ac:dyDescent="0.25">
      <c r="A62" s="19" t="str">
        <f>'nastavit-mesic'!A30</f>
        <v>organic - Obrat</v>
      </c>
      <c r="B62" s="19">
        <f>'nastavit-mesic'!Z30</f>
        <v>1625663.6408115267</v>
      </c>
      <c r="C62" s="21">
        <f>'nastavit-mesic'!Y30</f>
        <v>1476812.2069699597</v>
      </c>
      <c r="D62" s="21">
        <f>'nastavit-mesic'!X30</f>
        <v>1803935.2482572517</v>
      </c>
      <c r="E62" s="21">
        <f>'nastavit-mesic'!W30</f>
        <v>1425163.8791495946</v>
      </c>
      <c r="F62" s="21">
        <f>'nastavit-mesic'!V30</f>
        <v>1133553.058618366</v>
      </c>
      <c r="G62" s="21">
        <f>'nastavit-mesic'!U30</f>
        <v>1199037.2484804031</v>
      </c>
      <c r="H62" s="21">
        <f>'nastavit-mesic'!T30</f>
        <v>1115182.8012782668</v>
      </c>
      <c r="I62" s="21">
        <f>'nastavit-mesic'!S30</f>
        <v>1354646.5326466509</v>
      </c>
      <c r="J62" s="21">
        <f>'nastavit-mesic'!Q30</f>
        <v>2322866.5389582659</v>
      </c>
      <c r="K62" s="21">
        <f>'nastavit-mesic'!P30</f>
        <v>2168274.4024570547</v>
      </c>
      <c r="L62" s="21">
        <f>'nastavit-mesic'!O30</f>
        <v>2280523.1246861676</v>
      </c>
      <c r="M62" s="37">
        <f>'nastavit-mesic'!N30</f>
        <v>1128459.8917390101</v>
      </c>
      <c r="N62" s="21">
        <f>'nastavit-mesic'!M30</f>
        <v>1704582.2476397217</v>
      </c>
      <c r="O62" s="21">
        <f>'nastavit-mesic'!L30</f>
        <v>2407538.3640369996</v>
      </c>
      <c r="P62" s="21">
        <f>'nastavit-mesic'!K30</f>
        <v>2556754.3949674726</v>
      </c>
      <c r="Q62" s="21">
        <f>'nastavit-mesic'!J30</f>
        <v>2275561.142202056</v>
      </c>
      <c r="R62" s="21">
        <f>'nastavit-mesic'!I30</f>
        <v>1589456.4469352737</v>
      </c>
      <c r="S62" s="21">
        <f>'nastavit-mesic'!H30</f>
        <v>1346859.6555919629</v>
      </c>
      <c r="T62" s="21">
        <f>'nastavit-mesic'!G30</f>
        <v>1339163.7570281446</v>
      </c>
      <c r="U62" s="21">
        <f>'nastavit-mesic'!F30</f>
        <v>1227276.4406480754</v>
      </c>
      <c r="V62" s="21">
        <f>'nastavit-mesic'!E30</f>
        <v>1356767.0104299367</v>
      </c>
      <c r="W62" s="21">
        <f>'nastavit-mesic'!D30</f>
        <v>2315645.9019208914</v>
      </c>
      <c r="X62" s="21">
        <f>'nastavit-mesic'!C30</f>
        <v>2084450.0059375125</v>
      </c>
      <c r="Y62" s="41">
        <f>'nastavit-mesic'!B30</f>
        <v>1741411.3256157408</v>
      </c>
    </row>
    <row r="63" spans="1:28" s="5" customFormat="1" x14ac:dyDescent="0.25">
      <c r="A63" s="5" t="str">
        <f>'nastavit-mesic'!A31</f>
        <v>organic - KP</v>
      </c>
      <c r="B63" s="5">
        <f>'nastavit-mesic'!Z31</f>
        <v>1.3426304381102526E-2</v>
      </c>
      <c r="C63" s="22">
        <f>'nastavit-mesic'!Y31</f>
        <v>1.1439916074664472E-2</v>
      </c>
      <c r="D63" s="22">
        <f>'nastavit-mesic'!X31</f>
        <v>3.0645036787049787E-2</v>
      </c>
      <c r="E63" s="22">
        <f>'nastavit-mesic'!W31</f>
        <v>2.2041954748704538E-2</v>
      </c>
      <c r="F63" s="22">
        <f>'nastavit-mesic'!V31</f>
        <v>1.8115153451974678E-2</v>
      </c>
      <c r="G63" s="22">
        <f>'nastavit-mesic'!U31</f>
        <v>1.1346549653021908E-2</v>
      </c>
      <c r="H63" s="22">
        <f>'nastavit-mesic'!T31</f>
        <v>1.6304654544788934E-2</v>
      </c>
      <c r="I63" s="22">
        <f>'nastavit-mesic'!S31</f>
        <v>8.3484525305843622E-3</v>
      </c>
      <c r="J63" s="22">
        <f>'nastavit-mesic'!Q31</f>
        <v>1.7523879019714056E-2</v>
      </c>
      <c r="K63" s="22">
        <f>'nastavit-mesic'!P31</f>
        <v>1.0445905317356825E-2</v>
      </c>
      <c r="L63" s="22">
        <f>'nastavit-mesic'!O31</f>
        <v>2.5528559782195714E-2</v>
      </c>
      <c r="M63" s="38">
        <f>'nastavit-mesic'!N31</f>
        <v>1.3901476932044588E-2</v>
      </c>
      <c r="N63" s="22">
        <f>'nastavit-mesic'!M31</f>
        <v>1.2534345428844369E-2</v>
      </c>
      <c r="O63" s="22">
        <f>'nastavit-mesic'!L31</f>
        <v>1.3840860354089742E-2</v>
      </c>
      <c r="P63" s="22">
        <f>'nastavit-mesic'!K31</f>
        <v>1.4801374605444135E-2</v>
      </c>
      <c r="Q63" s="22">
        <f>'nastavit-mesic'!J31</f>
        <v>1.1252752854152474E-2</v>
      </c>
      <c r="R63" s="22">
        <f>'nastavit-mesic'!I31</f>
        <v>9.9013887437394005E-3</v>
      </c>
      <c r="S63" s="22">
        <f>'nastavit-mesic'!H31</f>
        <v>1.7773820388710719E-2</v>
      </c>
      <c r="T63" s="22">
        <f>'nastavit-mesic'!G31</f>
        <v>2.6636056018119646E-2</v>
      </c>
      <c r="U63" s="22">
        <f>'nastavit-mesic'!F31</f>
        <v>1.0614524433639121E-2</v>
      </c>
      <c r="V63" s="22">
        <f>'nastavit-mesic'!E31</f>
        <v>1.5617243266511554E-2</v>
      </c>
      <c r="W63" s="22">
        <f>'nastavit-mesic'!D31</f>
        <v>2.722420566502155E-2</v>
      </c>
      <c r="X63" s="22">
        <f>'nastavit-mesic'!C31</f>
        <v>1.5542952136608137E-2</v>
      </c>
      <c r="Y63" s="42">
        <f>'nastavit-mesic'!B31</f>
        <v>1.7422749141242321E-2</v>
      </c>
    </row>
    <row r="64" spans="1:28" x14ac:dyDescent="0.25">
      <c r="A64" s="18" t="s">
        <v>157</v>
      </c>
      <c r="B64" s="19">
        <f t="shared" ref="B64:Y64" si="3">B62/B61</f>
        <v>1214.9754864013216</v>
      </c>
      <c r="C64" s="19">
        <f t="shared" si="3"/>
        <v>1612.3615229261338</v>
      </c>
      <c r="D64" s="19">
        <f t="shared" si="3"/>
        <v>860.96790080832682</v>
      </c>
      <c r="E64" s="19">
        <f t="shared" si="3"/>
        <v>739.36414473744708</v>
      </c>
      <c r="F64" s="19">
        <f t="shared" si="3"/>
        <v>801.18360902291658</v>
      </c>
      <c r="G64" s="19">
        <f t="shared" si="3"/>
        <v>864.88537406454873</v>
      </c>
      <c r="H64" s="19">
        <f t="shared" si="3"/>
        <v>874.57495029683514</v>
      </c>
      <c r="I64" s="19">
        <f t="shared" si="3"/>
        <v>1881.9968115860702</v>
      </c>
      <c r="J64" s="19">
        <f t="shared" si="3"/>
        <v>1649.1429422854753</v>
      </c>
      <c r="K64" s="19">
        <f t="shared" si="3"/>
        <v>2519.6631356074713</v>
      </c>
      <c r="L64" s="19">
        <f t="shared" si="3"/>
        <v>1663.9441020178688</v>
      </c>
      <c r="M64" s="73">
        <f t="shared" si="3"/>
        <v>1151.911003432487</v>
      </c>
      <c r="N64" s="19">
        <f t="shared" si="3"/>
        <v>1682.8506477661876</v>
      </c>
      <c r="O64" s="19">
        <f t="shared" si="3"/>
        <v>1752.8254168136079</v>
      </c>
      <c r="P64" s="19">
        <f t="shared" si="3"/>
        <v>1585.0577032363387</v>
      </c>
      <c r="Q64" s="19">
        <f t="shared" si="3"/>
        <v>2144.5103384672775</v>
      </c>
      <c r="R64" s="19">
        <f t="shared" si="3"/>
        <v>2011.6559538972651</v>
      </c>
      <c r="S64" s="19">
        <f t="shared" si="3"/>
        <v>1136.0187256313832</v>
      </c>
      <c r="T64" s="19">
        <f t="shared" si="3"/>
        <v>750.84707670938042</v>
      </c>
      <c r="U64" s="19">
        <f t="shared" si="3"/>
        <v>1280.3655189267404</v>
      </c>
      <c r="V64" s="19">
        <f t="shared" si="3"/>
        <v>1062.1415254940828</v>
      </c>
      <c r="W64" s="19">
        <f t="shared" si="3"/>
        <v>1390.6780682733809</v>
      </c>
      <c r="X64" s="19">
        <f t="shared" si="3"/>
        <v>1983.0191184003402</v>
      </c>
      <c r="Y64" s="75">
        <f t="shared" si="3"/>
        <v>1486.1458072082917</v>
      </c>
    </row>
    <row r="65" spans="1:25" s="3" customFormat="1" x14ac:dyDescent="0.25">
      <c r="A65" s="3" t="str">
        <f>'nastavit-mesic'!A32</f>
        <v>seznam - Návštěvy</v>
      </c>
      <c r="B65" s="3">
        <f>'nastavit-mesic'!Z32</f>
        <v>36371.899265270185</v>
      </c>
      <c r="C65" s="20">
        <f>'nastavit-mesic'!Y32</f>
        <v>42174.597653197518</v>
      </c>
      <c r="D65" s="20">
        <f>'nastavit-mesic'!X32</f>
        <v>56795.45913710304</v>
      </c>
      <c r="E65" s="20">
        <f>'nastavit-mesic'!W32</f>
        <v>31764.742724966694</v>
      </c>
      <c r="F65" s="20">
        <f>'nastavit-mesic'!V32</f>
        <v>42223.129782658245</v>
      </c>
      <c r="G65" s="20">
        <f>'nastavit-mesic'!U32</f>
        <v>40833.273183534358</v>
      </c>
      <c r="H65" s="20">
        <f>'nastavit-mesic'!T32</f>
        <v>39083.104402019424</v>
      </c>
      <c r="I65" s="20">
        <f>'nastavit-mesic'!S32</f>
        <v>40850.38633385572</v>
      </c>
      <c r="J65" s="20">
        <f>'nastavit-mesic'!Q32</f>
        <v>36947.419737551892</v>
      </c>
      <c r="K65" s="20">
        <f>'nastavit-mesic'!P32</f>
        <v>32674.710874757919</v>
      </c>
      <c r="L65" s="20">
        <f>'nastavit-mesic'!O32</f>
        <v>37827.508540433249</v>
      </c>
      <c r="M65" s="36">
        <f>'nastavit-mesic'!N32</f>
        <v>39970.002038334176</v>
      </c>
      <c r="N65" s="20">
        <f>'nastavit-mesic'!M32</f>
        <v>44510.914360256436</v>
      </c>
      <c r="O65" s="20">
        <f>'nastavit-mesic'!L32</f>
        <v>35818.886019608632</v>
      </c>
      <c r="P65" s="20">
        <f>'nastavit-mesic'!K32</f>
        <v>38119.343199676805</v>
      </c>
      <c r="Q65" s="20">
        <f>'nastavit-mesic'!J32</f>
        <v>37794.843836497777</v>
      </c>
      <c r="R65" s="20">
        <f>'nastavit-mesic'!I32</f>
        <v>36158.346276363045</v>
      </c>
      <c r="S65" s="20">
        <f>'nastavit-mesic'!H32</f>
        <v>23502.837087973061</v>
      </c>
      <c r="T65" s="20">
        <f>'nastavit-mesic'!G32</f>
        <v>28331.392652258281</v>
      </c>
      <c r="U65" s="20">
        <f>'nastavit-mesic'!F32</f>
        <v>32075.194875703433</v>
      </c>
      <c r="V65" s="20">
        <f>'nastavit-mesic'!E32</f>
        <v>19551.392041956769</v>
      </c>
      <c r="W65" s="20">
        <f>'nastavit-mesic'!D32</f>
        <v>29031.38158930614</v>
      </c>
      <c r="X65" s="20">
        <f>'nastavit-mesic'!C32</f>
        <v>32549.001683172672</v>
      </c>
      <c r="Y65" s="40">
        <f>'nastavit-mesic'!B32</f>
        <v>29616.422423864828</v>
      </c>
    </row>
    <row r="66" spans="1:25" s="3" customFormat="1" x14ac:dyDescent="0.25">
      <c r="A66" s="3" t="str">
        <f>'nastavit-mesic'!A33</f>
        <v>seznam - Transakce</v>
      </c>
      <c r="B66" s="3">
        <f>'nastavit-mesic'!Z33</f>
        <v>312.27136334796802</v>
      </c>
      <c r="C66" s="20">
        <f>'nastavit-mesic'!Y33</f>
        <v>803.03793372639677</v>
      </c>
      <c r="D66" s="20">
        <f>'nastavit-mesic'!X33</f>
        <v>953.93457760026661</v>
      </c>
      <c r="E66" s="20">
        <f>'nastavit-mesic'!W33</f>
        <v>698.87046447742682</v>
      </c>
      <c r="F66" s="20">
        <f>'nastavit-mesic'!V33</f>
        <v>469.64694247290015</v>
      </c>
      <c r="G66" s="20">
        <f>'nastavit-mesic'!U33</f>
        <v>604.37452091192597</v>
      </c>
      <c r="H66" s="20">
        <f>'nastavit-mesic'!T33</f>
        <v>517.00101346691201</v>
      </c>
      <c r="I66" s="20">
        <f>'nastavit-mesic'!S33</f>
        <v>460.42121892693876</v>
      </c>
      <c r="J66" s="20">
        <f>'nastavit-mesic'!Q33</f>
        <v>404.79507246743401</v>
      </c>
      <c r="K66" s="20">
        <f>'nastavit-mesic'!P33</f>
        <v>489.41956963871894</v>
      </c>
      <c r="L66" s="20">
        <f>'nastavit-mesic'!O33</f>
        <v>412.826723496292</v>
      </c>
      <c r="M66" s="36">
        <f>'nastavit-mesic'!N33</f>
        <v>307.81312119108958</v>
      </c>
      <c r="N66" s="20">
        <f>'nastavit-mesic'!M33</f>
        <v>426.77481155562458</v>
      </c>
      <c r="O66" s="20">
        <f>'nastavit-mesic'!L33</f>
        <v>650.68533749846404</v>
      </c>
      <c r="P66" s="20">
        <f>'nastavit-mesic'!K33</f>
        <v>696.54814858132522</v>
      </c>
      <c r="Q66" s="20">
        <f>'nastavit-mesic'!J33</f>
        <v>322.66226855859054</v>
      </c>
      <c r="R66" s="20">
        <f>'nastavit-mesic'!I33</f>
        <v>430.71139987196977</v>
      </c>
      <c r="S66" s="20">
        <f>'nastavit-mesic'!H33</f>
        <v>538.99403504191309</v>
      </c>
      <c r="T66" s="20">
        <f>'nastavit-mesic'!G33</f>
        <v>548.53276364855606</v>
      </c>
      <c r="U66" s="20">
        <f>'nastavit-mesic'!F33</f>
        <v>504.18671234746733</v>
      </c>
      <c r="V66" s="20">
        <f>'nastavit-mesic'!E33</f>
        <v>300.19255251962494</v>
      </c>
      <c r="W66" s="20">
        <f>'nastavit-mesic'!D33</f>
        <v>333.49058720044764</v>
      </c>
      <c r="X66" s="20">
        <f>'nastavit-mesic'!C33</f>
        <v>442.87367682849441</v>
      </c>
      <c r="Y66" s="40">
        <f>'nastavit-mesic'!B33</f>
        <v>530.03943989809648</v>
      </c>
    </row>
    <row r="67" spans="1:25" s="19" customFormat="1" x14ac:dyDescent="0.25">
      <c r="A67" s="19" t="str">
        <f>'nastavit-mesic'!A34</f>
        <v>seznam - Obrat</v>
      </c>
      <c r="B67" s="19">
        <f>'nastavit-mesic'!Z34</f>
        <v>571130.69065419049</v>
      </c>
      <c r="C67" s="21">
        <f>'nastavit-mesic'!Y34</f>
        <v>898686.31734889711</v>
      </c>
      <c r="D67" s="21">
        <f>'nastavit-mesic'!X34</f>
        <v>881114.27476319484</v>
      </c>
      <c r="E67" s="21">
        <f>'nastavit-mesic'!W34</f>
        <v>579597.41992592893</v>
      </c>
      <c r="F67" s="21">
        <f>'nastavit-mesic'!V34</f>
        <v>587205.35424004123</v>
      </c>
      <c r="G67" s="21">
        <f>'nastavit-mesic'!U34</f>
        <v>609886.78906661074</v>
      </c>
      <c r="H67" s="21">
        <f>'nastavit-mesic'!T34</f>
        <v>592513.68476084224</v>
      </c>
      <c r="I67" s="21">
        <f>'nastavit-mesic'!S34</f>
        <v>400427.06250086694</v>
      </c>
      <c r="J67" s="21">
        <f>'nastavit-mesic'!Q34</f>
        <v>534996.10740287381</v>
      </c>
      <c r="K67" s="21">
        <f>'nastavit-mesic'!P34</f>
        <v>622966.23709322442</v>
      </c>
      <c r="L67" s="21">
        <f>'nastavit-mesic'!O34</f>
        <v>722351.81904963462</v>
      </c>
      <c r="M67" s="37">
        <f>'nastavit-mesic'!N34</f>
        <v>674108.38589499635</v>
      </c>
      <c r="N67" s="21">
        <f>'nastavit-mesic'!M34</f>
        <v>551582.30315182277</v>
      </c>
      <c r="O67" s="21">
        <f>'nastavit-mesic'!L34</f>
        <v>1032652.1276806027</v>
      </c>
      <c r="P67" s="21">
        <f>'nastavit-mesic'!K34</f>
        <v>814154.25233620009</v>
      </c>
      <c r="Q67" s="21">
        <f>'nastavit-mesic'!J34</f>
        <v>647006.60661338468</v>
      </c>
      <c r="R67" s="21">
        <f>'nastavit-mesic'!I34</f>
        <v>782116.96797166998</v>
      </c>
      <c r="S67" s="21">
        <f>'nastavit-mesic'!H34</f>
        <v>690735.03749814595</v>
      </c>
      <c r="T67" s="21">
        <f>'nastavit-mesic'!G34</f>
        <v>743074.31636398879</v>
      </c>
      <c r="U67" s="21">
        <f>'nastavit-mesic'!F34</f>
        <v>521495.64975364169</v>
      </c>
      <c r="V67" s="21">
        <f>'nastavit-mesic'!E34</f>
        <v>574593.35968778038</v>
      </c>
      <c r="W67" s="21">
        <f>'nastavit-mesic'!D34</f>
        <v>935273.65733336122</v>
      </c>
      <c r="X67" s="21">
        <f>'nastavit-mesic'!C34</f>
        <v>801157.47897449206</v>
      </c>
      <c r="Y67" s="41">
        <f>'nastavit-mesic'!B34</f>
        <v>708702.74003210186</v>
      </c>
    </row>
    <row r="68" spans="1:25" s="5" customFormat="1" x14ac:dyDescent="0.25">
      <c r="A68" s="5" t="str">
        <f>'nastavit-mesic'!A35</f>
        <v>seznam- KP</v>
      </c>
      <c r="B68" s="5">
        <f>'nastavit-mesic'!Z35</f>
        <v>8.5855116080270581E-3</v>
      </c>
      <c r="C68" s="22">
        <f>'nastavit-mesic'!Y35</f>
        <v>1.9040796555542562E-2</v>
      </c>
      <c r="D68" s="22">
        <f>'nastavit-mesic'!X35</f>
        <v>1.6795965594669966E-2</v>
      </c>
      <c r="E68" s="22">
        <f>'nastavit-mesic'!W35</f>
        <v>2.2001452066794904E-2</v>
      </c>
      <c r="F68" s="22">
        <f>'nastavit-mesic'!V35</f>
        <v>1.1122977971798578E-2</v>
      </c>
      <c r="G68" s="22">
        <f>'nastavit-mesic'!U35</f>
        <v>1.4801030478145318E-2</v>
      </c>
      <c r="H68" s="22">
        <f>'nastavit-mesic'!T35</f>
        <v>1.3228248404960343E-2</v>
      </c>
      <c r="I68" s="22">
        <f>'nastavit-mesic'!S35</f>
        <v>1.1270914677870595E-2</v>
      </c>
      <c r="J68" s="22">
        <f>'nastavit-mesic'!Q35</f>
        <v>1.0955976773014445E-2</v>
      </c>
      <c r="K68" s="22">
        <f>'nastavit-mesic'!P35</f>
        <v>1.4978543238367521E-2</v>
      </c>
      <c r="L68" s="22">
        <f>'nastavit-mesic'!O35</f>
        <v>1.0913399782991993E-2</v>
      </c>
      <c r="M68" s="38">
        <f>'nastavit-mesic'!N35</f>
        <v>7.7011034649403847E-3</v>
      </c>
      <c r="N68" s="22">
        <f>'nastavit-mesic'!M35</f>
        <v>9.58809356512994E-3</v>
      </c>
      <c r="O68" s="22">
        <f>'nastavit-mesic'!L35</f>
        <v>1.8165984758494555E-2</v>
      </c>
      <c r="P68" s="22">
        <f>'nastavit-mesic'!K35</f>
        <v>1.8272826604925105E-2</v>
      </c>
      <c r="Q68" s="22">
        <f>'nastavit-mesic'!J35</f>
        <v>8.5372033802928859E-3</v>
      </c>
      <c r="R68" s="22">
        <f>'nastavit-mesic'!I35</f>
        <v>1.1911811358295684E-2</v>
      </c>
      <c r="S68" s="22">
        <f>'nastavit-mesic'!H35</f>
        <v>2.2933147731246824E-2</v>
      </c>
      <c r="T68" s="22">
        <f>'nastavit-mesic'!G35</f>
        <v>1.9361306038897907E-2</v>
      </c>
      <c r="U68" s="22">
        <f>'nastavit-mesic'!F35</f>
        <v>1.5718897868002749E-2</v>
      </c>
      <c r="V68" s="22">
        <f>'nastavit-mesic'!E35</f>
        <v>1.5354024505028577E-2</v>
      </c>
      <c r="W68" s="22">
        <f>'nastavit-mesic'!D35</f>
        <v>1.1487244800064583E-2</v>
      </c>
      <c r="X68" s="22">
        <f>'nastavit-mesic'!C35</f>
        <v>1.3606367443750302E-2</v>
      </c>
      <c r="Y68" s="42">
        <f>'nastavit-mesic'!B35</f>
        <v>1.7896808477143825E-2</v>
      </c>
    </row>
    <row r="69" spans="1:25" x14ac:dyDescent="0.25">
      <c r="A69" s="18" t="s">
        <v>158</v>
      </c>
      <c r="B69" s="19">
        <f t="shared" ref="B69:Y69" si="4">B67/B66</f>
        <v>1828.9563427491498</v>
      </c>
      <c r="C69" s="19">
        <f t="shared" si="4"/>
        <v>1119.1081760965587</v>
      </c>
      <c r="D69" s="19">
        <f t="shared" si="4"/>
        <v>923.66321072011067</v>
      </c>
      <c r="E69" s="19">
        <f t="shared" si="4"/>
        <v>829.33454679518741</v>
      </c>
      <c r="F69" s="19">
        <f t="shared" si="4"/>
        <v>1250.3123115166975</v>
      </c>
      <c r="G69" s="19">
        <f t="shared" si="4"/>
        <v>1009.1206163793395</v>
      </c>
      <c r="H69" s="19">
        <f t="shared" si="4"/>
        <v>1146.0590392029533</v>
      </c>
      <c r="I69" s="19">
        <f t="shared" si="4"/>
        <v>869.69723818138823</v>
      </c>
      <c r="J69" s="19">
        <f t="shared" si="4"/>
        <v>1321.6467881928443</v>
      </c>
      <c r="K69" s="19">
        <f t="shared" si="4"/>
        <v>1272.8674449063967</v>
      </c>
      <c r="L69" s="19">
        <f t="shared" si="4"/>
        <v>1749.7700074547688</v>
      </c>
      <c r="M69" s="73">
        <f t="shared" si="4"/>
        <v>2189.9923670781782</v>
      </c>
      <c r="N69" s="19">
        <f t="shared" si="4"/>
        <v>1292.4434343752996</v>
      </c>
      <c r="O69" s="19">
        <f t="shared" si="4"/>
        <v>1587.0222796945079</v>
      </c>
      <c r="P69" s="19">
        <f t="shared" si="4"/>
        <v>1168.8413126851399</v>
      </c>
      <c r="Q69" s="19">
        <f t="shared" si="4"/>
        <v>2005.2130963552627</v>
      </c>
      <c r="R69" s="19">
        <f t="shared" si="4"/>
        <v>1815.8724570655816</v>
      </c>
      <c r="S69" s="19">
        <f t="shared" si="4"/>
        <v>1281.5263112224113</v>
      </c>
      <c r="T69" s="19">
        <f t="shared" si="4"/>
        <v>1354.6580361425324</v>
      </c>
      <c r="U69" s="19">
        <f t="shared" si="4"/>
        <v>1034.3304116952722</v>
      </c>
      <c r="V69" s="19">
        <f t="shared" si="4"/>
        <v>1914.0826608288912</v>
      </c>
      <c r="W69" s="19">
        <f t="shared" si="4"/>
        <v>2804.4979175715271</v>
      </c>
      <c r="X69" s="19">
        <f t="shared" si="4"/>
        <v>1808.9977365819943</v>
      </c>
      <c r="Y69" s="75">
        <f t="shared" si="4"/>
        <v>1337.0754828515301</v>
      </c>
    </row>
    <row r="70" spans="1:25" s="3" customFormat="1" x14ac:dyDescent="0.25">
      <c r="A70" s="3" t="str">
        <f>'nastavit-mesic'!A36</f>
        <v>google - Návštěvy</v>
      </c>
      <c r="B70" s="3">
        <f>'nastavit-mesic'!Z36</f>
        <v>44929.727676830684</v>
      </c>
      <c r="C70" s="20">
        <f>'nastavit-mesic'!Y36</f>
        <v>53731.594009325476</v>
      </c>
      <c r="D70" s="20">
        <f>'nastavit-mesic'!X36</f>
        <v>37736.650128586145</v>
      </c>
      <c r="E70" s="20">
        <f>'nastavit-mesic'!W36</f>
        <v>36385.597457245036</v>
      </c>
      <c r="F70" s="20">
        <f>'nastavit-mesic'!V36</f>
        <v>47527.826231162449</v>
      </c>
      <c r="G70" s="20">
        <f>'nastavit-mesic'!U36</f>
        <v>57216.33014911873</v>
      </c>
      <c r="H70" s="20">
        <f>'nastavit-mesic'!T36</f>
        <v>46821.878413063489</v>
      </c>
      <c r="I70" s="20">
        <f>'nastavit-mesic'!S36</f>
        <v>35725.37721434555</v>
      </c>
      <c r="J70" s="20">
        <f>'nastavit-mesic'!Q36</f>
        <v>56496.57693635075</v>
      </c>
      <c r="K70" s="20">
        <f>'nastavit-mesic'!P36</f>
        <v>47856.471314904964</v>
      </c>
      <c r="L70" s="20">
        <f>'nastavit-mesic'!O36</f>
        <v>35079.689346529944</v>
      </c>
      <c r="M70" s="36">
        <f>'nastavit-mesic'!N36</f>
        <v>54597.570553932397</v>
      </c>
      <c r="N70" s="20">
        <f>'nastavit-mesic'!M36</f>
        <v>60224.043145257725</v>
      </c>
      <c r="O70" s="20">
        <f>'nastavit-mesic'!L36</f>
        <v>46812.041393181506</v>
      </c>
      <c r="P70" s="20">
        <f>'nastavit-mesic'!K36</f>
        <v>60447.00571151152</v>
      </c>
      <c r="Q70" s="20">
        <f>'nastavit-mesic'!J36</f>
        <v>40752.260423004933</v>
      </c>
      <c r="R70" s="20">
        <f>'nastavit-mesic'!I36</f>
        <v>43034.443837203893</v>
      </c>
      <c r="S70" s="20">
        <f>'nastavit-mesic'!H36</f>
        <v>36681.91146149463</v>
      </c>
      <c r="T70" s="20">
        <f>'nastavit-mesic'!G36</f>
        <v>49514.863535617347</v>
      </c>
      <c r="U70" s="20">
        <f>'nastavit-mesic'!F36</f>
        <v>37239.28164198366</v>
      </c>
      <c r="V70" s="20">
        <f>'nastavit-mesic'!E36</f>
        <v>37089.626020999334</v>
      </c>
      <c r="W70" s="20">
        <f>'nastavit-mesic'!D36</f>
        <v>37986.100247506627</v>
      </c>
      <c r="X70" s="20">
        <f>'nastavit-mesic'!C36</f>
        <v>55655.555731890832</v>
      </c>
      <c r="Y70" s="40">
        <f>'nastavit-mesic'!B36</f>
        <v>45050.98840645561</v>
      </c>
    </row>
    <row r="71" spans="1:25" s="3" customFormat="1" x14ac:dyDescent="0.25">
      <c r="A71" s="3" t="str">
        <f>'nastavit-mesic'!A37</f>
        <v>google - Transakce</v>
      </c>
      <c r="B71" s="3">
        <f>'nastavit-mesic'!Z37</f>
        <v>423.31570278884442</v>
      </c>
      <c r="C71" s="20">
        <f>'nastavit-mesic'!Y37</f>
        <v>683.27831161861616</v>
      </c>
      <c r="D71" s="20">
        <f>'nastavit-mesic'!X37</f>
        <v>1095.12523503437</v>
      </c>
      <c r="E71" s="20">
        <f>'nastavit-mesic'!W37</f>
        <v>883.61086450138225</v>
      </c>
      <c r="F71" s="20">
        <f>'nastavit-mesic'!V37</f>
        <v>565.59961203166711</v>
      </c>
      <c r="G71" s="20">
        <f>'nastavit-mesic'!U37</f>
        <v>687.0382586416714</v>
      </c>
      <c r="H71" s="20">
        <f>'nastavit-mesic'!T37</f>
        <v>526.41410950941963</v>
      </c>
      <c r="I71" s="20">
        <f>'nastavit-mesic'!S37</f>
        <v>790.96269260999304</v>
      </c>
      <c r="J71" s="20">
        <f>'nastavit-mesic'!Q37</f>
        <v>529.67977641141351</v>
      </c>
      <c r="K71" s="20">
        <f>'nastavit-mesic'!P37</f>
        <v>624.29145007452371</v>
      </c>
      <c r="L71" s="20">
        <f>'nastavit-mesic'!O37</f>
        <v>510.55246729233249</v>
      </c>
      <c r="M71" s="36">
        <f>'nastavit-mesic'!N37</f>
        <v>483.81539096667774</v>
      </c>
      <c r="N71" s="20">
        <f>'nastavit-mesic'!M37</f>
        <v>1031.0268562485467</v>
      </c>
      <c r="O71" s="20">
        <f>'nastavit-mesic'!L37</f>
        <v>980.68820677270742</v>
      </c>
      <c r="P71" s="20">
        <f>'nastavit-mesic'!K37</f>
        <v>1223.4575716097934</v>
      </c>
      <c r="Q71" s="20">
        <f>'nastavit-mesic'!J37</f>
        <v>893.851955333668</v>
      </c>
      <c r="R71" s="20">
        <f>'nastavit-mesic'!I37</f>
        <v>646.98400962435426</v>
      </c>
      <c r="S71" s="20">
        <f>'nastavit-mesic'!H37</f>
        <v>544.75513614776412</v>
      </c>
      <c r="T71" s="20">
        <f>'nastavit-mesic'!G37</f>
        <v>571.8143857870997</v>
      </c>
      <c r="U71" s="20">
        <f>'nastavit-mesic'!F37</f>
        <v>896.73432968515419</v>
      </c>
      <c r="V71" s="20">
        <f>'nastavit-mesic'!E37</f>
        <v>674.55478521753275</v>
      </c>
      <c r="W71" s="20">
        <f>'nastavit-mesic'!D37</f>
        <v>1026.6002268989353</v>
      </c>
      <c r="X71" s="20">
        <f>'nastavit-mesic'!C37</f>
        <v>813.65631348772638</v>
      </c>
      <c r="Y71" s="40">
        <f>'nastavit-mesic'!B37</f>
        <v>602.5925256963003</v>
      </c>
    </row>
    <row r="72" spans="1:25" s="19" customFormat="1" x14ac:dyDescent="0.25">
      <c r="A72" s="19" t="str">
        <f>'nastavit-mesic'!A38</f>
        <v>google - Obrat</v>
      </c>
      <c r="B72" s="19">
        <f>'nastavit-mesic'!Z38</f>
        <v>671565.19513248082</v>
      </c>
      <c r="C72" s="21">
        <f>'nastavit-mesic'!Y38</f>
        <v>717117.85559666343</v>
      </c>
      <c r="D72" s="21">
        <f>'nastavit-mesic'!X38</f>
        <v>1186835.3194746119</v>
      </c>
      <c r="E72" s="21">
        <f>'nastavit-mesic'!W38</f>
        <v>1386671.4740895175</v>
      </c>
      <c r="F72" s="21">
        <f>'nastavit-mesic'!V38</f>
        <v>1251955.3734767933</v>
      </c>
      <c r="G72" s="21">
        <f>'nastavit-mesic'!U38</f>
        <v>1224576.752410532</v>
      </c>
      <c r="H72" s="21">
        <f>'nastavit-mesic'!T38</f>
        <v>1232284.2289956678</v>
      </c>
      <c r="I72" s="21">
        <f>'nastavit-mesic'!S38</f>
        <v>801168.57841673889</v>
      </c>
      <c r="J72" s="21">
        <f>'nastavit-mesic'!Q38</f>
        <v>996755.06267069408</v>
      </c>
      <c r="K72" s="21">
        <f>'nastavit-mesic'!P38</f>
        <v>1166128.609424598</v>
      </c>
      <c r="L72" s="21">
        <f>'nastavit-mesic'!O38</f>
        <v>1139051.9295324751</v>
      </c>
      <c r="M72" s="37">
        <f>'nastavit-mesic'!N38</f>
        <v>944318.03051449556</v>
      </c>
      <c r="N72" s="21">
        <f>'nastavit-mesic'!M38</f>
        <v>851359.67868710554</v>
      </c>
      <c r="O72" s="21">
        <f>'nastavit-mesic'!L38</f>
        <v>1058167.8065360028</v>
      </c>
      <c r="P72" s="21">
        <f>'nastavit-mesic'!K38</f>
        <v>1658971.5421089423</v>
      </c>
      <c r="Q72" s="21">
        <f>'nastavit-mesic'!J38</f>
        <v>1101045.5432050286</v>
      </c>
      <c r="R72" s="21">
        <f>'nastavit-mesic'!I38</f>
        <v>638082.39485371462</v>
      </c>
      <c r="S72" s="21">
        <f>'nastavit-mesic'!H38</f>
        <v>1387209.1971079265</v>
      </c>
      <c r="T72" s="21">
        <f>'nastavit-mesic'!G38</f>
        <v>805102.9706185949</v>
      </c>
      <c r="U72" s="21">
        <f>'nastavit-mesic'!F38</f>
        <v>792843.2070570325</v>
      </c>
      <c r="V72" s="21">
        <f>'nastavit-mesic'!E38</f>
        <v>671056.77542727289</v>
      </c>
      <c r="W72" s="21">
        <f>'nastavit-mesic'!D38</f>
        <v>1551806.0099342768</v>
      </c>
      <c r="X72" s="21">
        <f>'nastavit-mesic'!C38</f>
        <v>1680993.9220371477</v>
      </c>
      <c r="Y72" s="41">
        <f>'nastavit-mesic'!B38</f>
        <v>1162290.6163499961</v>
      </c>
    </row>
    <row r="73" spans="1:25" s="5" customFormat="1" x14ac:dyDescent="0.25">
      <c r="A73" s="5" t="str">
        <f>'nastavit-mesic'!A39</f>
        <v>google - KP</v>
      </c>
      <c r="B73" s="5">
        <f>'nastavit-mesic'!Z39</f>
        <v>9.4217286566626451E-3</v>
      </c>
      <c r="C73" s="22">
        <f>'nastavit-mesic'!Y39</f>
        <v>1.2716509238494369E-2</v>
      </c>
      <c r="D73" s="22">
        <f>'nastavit-mesic'!X39</f>
        <v>2.902020267572172E-2</v>
      </c>
      <c r="E73" s="22">
        <f>'nastavit-mesic'!W39</f>
        <v>2.4284632553846913E-2</v>
      </c>
      <c r="F73" s="22">
        <f>'nastavit-mesic'!V39</f>
        <v>1.1900388822344706E-2</v>
      </c>
      <c r="G73" s="22">
        <f>'nastavit-mesic'!U39</f>
        <v>1.2007730255524846E-2</v>
      </c>
      <c r="H73" s="22">
        <f>'nastavit-mesic'!T39</f>
        <v>1.1242908814238175E-2</v>
      </c>
      <c r="I73" s="22">
        <f>'nastavit-mesic'!S39</f>
        <v>2.2140079525665064E-2</v>
      </c>
      <c r="J73" s="22">
        <f>'nastavit-mesic'!Q39</f>
        <v>9.3754313116731422E-3</v>
      </c>
      <c r="K73" s="22">
        <f>'nastavit-mesic'!P39</f>
        <v>1.3045079023201765E-2</v>
      </c>
      <c r="L73" s="22">
        <f>'nastavit-mesic'!O39</f>
        <v>1.4554076070882764E-2</v>
      </c>
      <c r="M73" s="38">
        <f>'nastavit-mesic'!N39</f>
        <v>8.8614820413805192E-3</v>
      </c>
      <c r="N73" s="22">
        <f>'nastavit-mesic'!M39</f>
        <v>1.7119854503321132E-2</v>
      </c>
      <c r="O73" s="22">
        <f>'nastavit-mesic'!L39</f>
        <v>2.0949486020824363E-2</v>
      </c>
      <c r="P73" s="22">
        <f>'nastavit-mesic'!K39</f>
        <v>2.0240168345953293E-2</v>
      </c>
      <c r="Q73" s="22">
        <f>'nastavit-mesic'!J39</f>
        <v>2.1933800629843896E-2</v>
      </c>
      <c r="R73" s="22">
        <f>'nastavit-mesic'!I39</f>
        <v>1.5034097154173684E-2</v>
      </c>
      <c r="S73" s="22">
        <f>'nastavit-mesic'!H39</f>
        <v>1.4850783790795609E-2</v>
      </c>
      <c r="T73" s="22">
        <f>'nastavit-mesic'!G39</f>
        <v>1.1548338114186228E-2</v>
      </c>
      <c r="U73" s="22">
        <f>'nastavit-mesic'!F39</f>
        <v>2.4080333726797073E-2</v>
      </c>
      <c r="V73" s="22">
        <f>'nastavit-mesic'!E39</f>
        <v>1.8187155212501055E-2</v>
      </c>
      <c r="W73" s="22">
        <f>'nastavit-mesic'!D39</f>
        <v>2.7025680978302592E-2</v>
      </c>
      <c r="X73" s="22">
        <f>'nastavit-mesic'!C39</f>
        <v>1.4619498499077935E-2</v>
      </c>
      <c r="Y73" s="42">
        <f>'nastavit-mesic'!B39</f>
        <v>1.3375789233737464E-2</v>
      </c>
    </row>
    <row r="74" spans="1:25" x14ac:dyDescent="0.25">
      <c r="A74" s="18" t="s">
        <v>159</v>
      </c>
      <c r="B74" s="19">
        <f t="shared" ref="B74:Y74" si="5">B72/B71</f>
        <v>1586.4405471097457</v>
      </c>
      <c r="C74" s="19">
        <f t="shared" si="5"/>
        <v>1049.5252716245082</v>
      </c>
      <c r="D74" s="19">
        <f t="shared" si="5"/>
        <v>1083.7439239881671</v>
      </c>
      <c r="E74" s="19">
        <f t="shared" si="5"/>
        <v>1569.3237032254126</v>
      </c>
      <c r="F74" s="19">
        <f t="shared" si="5"/>
        <v>2213.5011178308555</v>
      </c>
      <c r="G74" s="19">
        <f t="shared" si="5"/>
        <v>1782.3996509766666</v>
      </c>
      <c r="H74" s="19">
        <f t="shared" si="5"/>
        <v>2340.9027355746007</v>
      </c>
      <c r="I74" s="19">
        <f t="shared" si="5"/>
        <v>1012.9031190751473</v>
      </c>
      <c r="J74" s="19">
        <f t="shared" si="5"/>
        <v>1881.8069087396934</v>
      </c>
      <c r="K74" s="19">
        <f t="shared" si="5"/>
        <v>1867.923402259303</v>
      </c>
      <c r="L74" s="19">
        <f t="shared" si="5"/>
        <v>2231.0183624678793</v>
      </c>
      <c r="M74" s="73">
        <f t="shared" si="5"/>
        <v>1951.8147792440411</v>
      </c>
      <c r="N74" s="19">
        <f t="shared" si="5"/>
        <v>825.73957557694382</v>
      </c>
      <c r="O74" s="19">
        <f t="shared" si="5"/>
        <v>1079.0053344459691</v>
      </c>
      <c r="P74" s="19">
        <f t="shared" si="5"/>
        <v>1355.9698191463322</v>
      </c>
      <c r="Q74" s="19">
        <f t="shared" si="5"/>
        <v>1231.7985507947083</v>
      </c>
      <c r="R74" s="19">
        <f t="shared" si="5"/>
        <v>986.2413681973253</v>
      </c>
      <c r="S74" s="19">
        <f t="shared" si="5"/>
        <v>2546.4820890310025</v>
      </c>
      <c r="T74" s="19">
        <f t="shared" si="5"/>
        <v>1407.9795657997911</v>
      </c>
      <c r="U74" s="19">
        <f t="shared" si="5"/>
        <v>884.14503695358894</v>
      </c>
      <c r="V74" s="19">
        <f t="shared" si="5"/>
        <v>994.81434293119457</v>
      </c>
      <c r="W74" s="19">
        <f t="shared" si="5"/>
        <v>1511.5971819155325</v>
      </c>
      <c r="X74" s="19">
        <f t="shared" si="5"/>
        <v>2065.9753930152533</v>
      </c>
      <c r="Y74" s="75">
        <f t="shared" si="5"/>
        <v>1928.8168485112892</v>
      </c>
    </row>
    <row r="75" spans="1:25" s="3" customFormat="1" x14ac:dyDescent="0.25">
      <c r="A75" s="3" t="str">
        <f>'nastavit-mesic'!A40</f>
        <v>ostatní org - Návštěvy</v>
      </c>
      <c r="B75" s="3">
        <f>'nastavit-mesic'!Z40</f>
        <v>1277.859439869821</v>
      </c>
      <c r="C75" s="20">
        <f>'nastavit-mesic'!Y40</f>
        <v>1636.0670643229801</v>
      </c>
      <c r="D75" s="20">
        <f>'nastavit-mesic'!X40</f>
        <v>2264.6572402812662</v>
      </c>
      <c r="E75" s="20">
        <f>'nastavit-mesic'!W40</f>
        <v>3024.2197815202962</v>
      </c>
      <c r="F75" s="20">
        <f>'nastavit-mesic'!V40</f>
        <v>2149.9960881273064</v>
      </c>
      <c r="G75" s="20">
        <f>'nastavit-mesic'!U40</f>
        <v>2390.4547608717576</v>
      </c>
      <c r="H75" s="20">
        <f>'nastavit-mesic'!T40</f>
        <v>2727.7106811640579</v>
      </c>
      <c r="I75" s="20">
        <f>'nastavit-mesic'!S40</f>
        <v>2240.7117886272258</v>
      </c>
      <c r="J75" s="20">
        <f>'nastavit-mesic'!Q40</f>
        <v>1701.4426993930201</v>
      </c>
      <c r="K75" s="20">
        <f>'nastavit-mesic'!P40</f>
        <v>2002.6802640083254</v>
      </c>
      <c r="L75" s="20">
        <f>'nastavit-mesic'!O40</f>
        <v>1555.1862613299902</v>
      </c>
      <c r="M75" s="36">
        <f>'nastavit-mesic'!N40</f>
        <v>1727.3325592865115</v>
      </c>
      <c r="N75" s="20">
        <f>'nastavit-mesic'!M40</f>
        <v>2015.2585546346847</v>
      </c>
      <c r="O75" s="20">
        <f>'nastavit-mesic'!L40</f>
        <v>3323.8684910024585</v>
      </c>
      <c r="P75" s="20">
        <f>'nastavit-mesic'!K40</f>
        <v>2333.2055921970532</v>
      </c>
      <c r="Q75" s="20">
        <f>'nastavit-mesic'!J40</f>
        <v>8837.5846246275196</v>
      </c>
      <c r="R75" s="20">
        <f>'nastavit-mesic'!I40</f>
        <v>1735.7666720287375</v>
      </c>
      <c r="S75" s="20">
        <f>'nastavit-mesic'!H40</f>
        <v>3135.4848792085845</v>
      </c>
      <c r="T75" s="20">
        <f>'nastavit-mesic'!G40</f>
        <v>2241.9675534270568</v>
      </c>
      <c r="U75" s="20">
        <f>'nastavit-mesic'!F40</f>
        <v>2385.8644384647205</v>
      </c>
      <c r="V75" s="20">
        <f>'nastavit-mesic'!E40</f>
        <v>1359.8594965735274</v>
      </c>
      <c r="W75" s="20">
        <f>'nastavit-mesic'!D40</f>
        <v>1208.7293612630483</v>
      </c>
      <c r="X75" s="20">
        <f>'nastavit-mesic'!C40</f>
        <v>1744.8137298595207</v>
      </c>
      <c r="Y75" s="40">
        <f>'nastavit-mesic'!B40</f>
        <v>1980.1773967530999</v>
      </c>
    </row>
    <row r="76" spans="1:25" s="3" customFormat="1" x14ac:dyDescent="0.25">
      <c r="A76" s="3" t="str">
        <f>'nastavit-mesic'!A41</f>
        <v>ostatní org - Transakce</v>
      </c>
      <c r="B76" s="3">
        <f>'nastavit-mesic'!Z41</f>
        <v>33.711910408039721</v>
      </c>
      <c r="C76" s="20">
        <f>'nastavit-mesic'!Y41</f>
        <v>23.753709570037024</v>
      </c>
      <c r="D76" s="20">
        <f>'nastavit-mesic'!X41</f>
        <v>43.581353006476867</v>
      </c>
      <c r="E76" s="20">
        <f>'nastavit-mesic'!W41</f>
        <v>81.312302205776987</v>
      </c>
      <c r="F76" s="20">
        <f>'nastavit-mesic'!V41</f>
        <v>28.27779110573449</v>
      </c>
      <c r="G76" s="20">
        <f>'nastavit-mesic'!U41</f>
        <v>35.015038942323784</v>
      </c>
      <c r="H76" s="20">
        <f>'nastavit-mesic'!T41</f>
        <v>22.350902251759457</v>
      </c>
      <c r="I76" s="20">
        <f>'nastavit-mesic'!S41</f>
        <v>15.525040334715973</v>
      </c>
      <c r="J76" s="20">
        <f>'nastavit-mesic'!Q41</f>
        <v>16.016082295934613</v>
      </c>
      <c r="K76" s="20">
        <f>'nastavit-mesic'!P41</f>
        <v>28.080545699789877</v>
      </c>
      <c r="L76" s="20">
        <f>'nastavit-mesic'!O41</f>
        <v>25.393849784226791</v>
      </c>
      <c r="M76" s="36">
        <f>'nastavit-mesic'!N41</f>
        <v>27.477559375236609</v>
      </c>
      <c r="N76" s="20">
        <f>'nastavit-mesic'!M41</f>
        <v>38.430210164760688</v>
      </c>
      <c r="O76" s="20">
        <f>'nastavit-mesic'!L41</f>
        <v>31.246919873131699</v>
      </c>
      <c r="P76" s="20">
        <f>'nastavit-mesic'!K41</f>
        <v>38.164984543568323</v>
      </c>
      <c r="Q76" s="20">
        <f>'nastavit-mesic'!J41</f>
        <v>146.6931100131828</v>
      </c>
      <c r="R76" s="20">
        <f>'nastavit-mesic'!I41</f>
        <v>45.293317232389199</v>
      </c>
      <c r="S76" s="20">
        <f>'nastavit-mesic'!H41</f>
        <v>38.479890425339981</v>
      </c>
      <c r="T76" s="20">
        <f>'nastavit-mesic'!G41</f>
        <v>48.194248660081037</v>
      </c>
      <c r="U76" s="20">
        <f>'nastavit-mesic'!F41</f>
        <v>49.646910455160722</v>
      </c>
      <c r="V76" s="20">
        <f>'nastavit-mesic'!E41</f>
        <v>27.519178176807841</v>
      </c>
      <c r="W76" s="20">
        <f>'nastavit-mesic'!D41</f>
        <v>39.466938853010483</v>
      </c>
      <c r="X76" s="20">
        <f>'nastavit-mesic'!C41</f>
        <v>38.161488397645179</v>
      </c>
      <c r="Y76" s="40">
        <f>'nastavit-mesic'!B41</f>
        <v>36.633809915250659</v>
      </c>
    </row>
    <row r="77" spans="1:25" s="19" customFormat="1" x14ac:dyDescent="0.25">
      <c r="A77" s="19" t="str">
        <f>'nastavit-mesic'!A42</f>
        <v>ostatní org - Obrat</v>
      </c>
      <c r="B77" s="19">
        <f>'nastavit-mesic'!Z42</f>
        <v>52960.699347922869</v>
      </c>
      <c r="C77" s="21">
        <f>'nastavit-mesic'!Y42</f>
        <v>59613.587865115784</v>
      </c>
      <c r="D77" s="21">
        <f>'nastavit-mesic'!X42</f>
        <v>74153.066646343621</v>
      </c>
      <c r="E77" s="21">
        <f>'nastavit-mesic'!W42</f>
        <v>35234.428719940028</v>
      </c>
      <c r="F77" s="21">
        <f>'nastavit-mesic'!V42</f>
        <v>26256.449221526236</v>
      </c>
      <c r="G77" s="21">
        <f>'nastavit-mesic'!U42</f>
        <v>60664.255412039136</v>
      </c>
      <c r="H77" s="21">
        <f>'nastavit-mesic'!T42</f>
        <v>44893.177657405962</v>
      </c>
      <c r="I77" s="21">
        <f>'nastavit-mesic'!S42</f>
        <v>28219.817276044265</v>
      </c>
      <c r="J77" s="21">
        <f>'nastavit-mesic'!Q42</f>
        <v>35606.994859858256</v>
      </c>
      <c r="K77" s="21">
        <f>'nastavit-mesic'!P42</f>
        <v>47710.569740842613</v>
      </c>
      <c r="L77" s="21">
        <f>'nastavit-mesic'!O42</f>
        <v>48029.885676796373</v>
      </c>
      <c r="M77" s="37">
        <f>'nastavit-mesic'!N42</f>
        <v>17580.826293965991</v>
      </c>
      <c r="N77" s="21">
        <f>'nastavit-mesic'!M42</f>
        <v>77926.860575588638</v>
      </c>
      <c r="O77" s="21">
        <f>'nastavit-mesic'!L42</f>
        <v>42908.079807023278</v>
      </c>
      <c r="P77" s="21">
        <f>'nastavit-mesic'!K42</f>
        <v>58220.529898636167</v>
      </c>
      <c r="Q77" s="21">
        <f>'nastavit-mesic'!J42</f>
        <v>318835.24052306777</v>
      </c>
      <c r="R77" s="21">
        <f>'nastavit-mesic'!I42</f>
        <v>64095.600957130831</v>
      </c>
      <c r="S77" s="21">
        <f>'nastavit-mesic'!H42</f>
        <v>62143.406855233829</v>
      </c>
      <c r="T77" s="21">
        <f>'nastavit-mesic'!G42</f>
        <v>60384.98924019721</v>
      </c>
      <c r="U77" s="21">
        <f>'nastavit-mesic'!F42</f>
        <v>81714.865743052549</v>
      </c>
      <c r="V77" s="21">
        <f>'nastavit-mesic'!E42</f>
        <v>56187.965450271084</v>
      </c>
      <c r="W77" s="21">
        <f>'nastavit-mesic'!D42</f>
        <v>43020.615819593084</v>
      </c>
      <c r="X77" s="21">
        <f>'nastavit-mesic'!C42</f>
        <v>58051.302764084227</v>
      </c>
      <c r="Y77" s="41">
        <f>'nastavit-mesic'!B42</f>
        <v>30470.876243260107</v>
      </c>
    </row>
    <row r="78" spans="1:25" s="5" customFormat="1" x14ac:dyDescent="0.25">
      <c r="A78" s="5" t="str">
        <f>'nastavit-mesic'!A43</f>
        <v>ostatní org - KP</v>
      </c>
      <c r="B78" s="5">
        <f>'nastavit-mesic'!Z43</f>
        <v>2.6381548201791304E-2</v>
      </c>
      <c r="C78" s="22">
        <f>'nastavit-mesic'!Y43</f>
        <v>1.4518787211126051E-2</v>
      </c>
      <c r="D78" s="22">
        <f>'nastavit-mesic'!X43</f>
        <v>1.9244127646029181E-2</v>
      </c>
      <c r="E78" s="22">
        <f>'nastavit-mesic'!W43</f>
        <v>2.6887034699872484E-2</v>
      </c>
      <c r="F78" s="22">
        <f>'nastavit-mesic'!V43</f>
        <v>1.3152484910037704E-2</v>
      </c>
      <c r="G78" s="22">
        <f>'nastavit-mesic'!U43</f>
        <v>1.4647856765778912E-2</v>
      </c>
      <c r="H78" s="22">
        <f>'nastavit-mesic'!T43</f>
        <v>8.1940150053674866E-3</v>
      </c>
      <c r="I78" s="22">
        <f>'nastavit-mesic'!S43</f>
        <v>6.9286199204706298E-3</v>
      </c>
      <c r="J78" s="22">
        <f>'nastavit-mesic'!Q43</f>
        <v>9.4132363679648202E-3</v>
      </c>
      <c r="K78" s="22">
        <f>'nastavit-mesic'!P43</f>
        <v>1.402148221283572E-2</v>
      </c>
      <c r="L78" s="22">
        <f>'nastavit-mesic'!O43</f>
        <v>1.6328494158963348E-2</v>
      </c>
      <c r="M78" s="38">
        <f>'nastavit-mesic'!N43</f>
        <v>1.5907509661362739E-2</v>
      </c>
      <c r="N78" s="22">
        <f>'nastavit-mesic'!M43</f>
        <v>1.9069617680758145E-2</v>
      </c>
      <c r="O78" s="22">
        <f>'nastavit-mesic'!L43</f>
        <v>9.4007690008541273E-3</v>
      </c>
      <c r="P78" s="22">
        <f>'nastavit-mesic'!K43</f>
        <v>1.6357317448236711E-2</v>
      </c>
      <c r="Q78" s="22">
        <f>'nastavit-mesic'!J43</f>
        <v>1.6598778540054492E-2</v>
      </c>
      <c r="R78" s="22">
        <f>'nastavit-mesic'!I43</f>
        <v>2.6094127720202778E-2</v>
      </c>
      <c r="S78" s="22">
        <f>'nastavit-mesic'!H43</f>
        <v>1.2272389090599774E-2</v>
      </c>
      <c r="T78" s="22">
        <f>'nastavit-mesic'!G43</f>
        <v>2.1496407736325902E-2</v>
      </c>
      <c r="U78" s="22">
        <f>'nastavit-mesic'!F43</f>
        <v>2.0808772558388942E-2</v>
      </c>
      <c r="V78" s="22">
        <f>'nastavit-mesic'!E43</f>
        <v>2.0236780524862028E-2</v>
      </c>
      <c r="W78" s="22">
        <f>'nastavit-mesic'!D43</f>
        <v>3.2651592753376937E-2</v>
      </c>
      <c r="X78" s="22">
        <f>'nastavit-mesic'!C43</f>
        <v>2.1871382454514303E-2</v>
      </c>
      <c r="Y78" s="42">
        <f>'nastavit-mesic'!B43</f>
        <v>1.8500266680813133E-2</v>
      </c>
    </row>
    <row r="79" spans="1:25" x14ac:dyDescent="0.25">
      <c r="A79" s="18" t="s">
        <v>160</v>
      </c>
      <c r="B79" s="19">
        <f>B77/B76</f>
        <v>1570.9788827420662</v>
      </c>
      <c r="C79" s="19">
        <f t="shared" ref="C79:Y79" si="6">C77/C76</f>
        <v>2509.6538159375527</v>
      </c>
      <c r="D79" s="19">
        <f t="shared" si="6"/>
        <v>1701.486106576896</v>
      </c>
      <c r="E79" s="19">
        <f t="shared" si="6"/>
        <v>433.32223739984983</v>
      </c>
      <c r="F79" s="19">
        <f t="shared" si="6"/>
        <v>928.51839534954536</v>
      </c>
      <c r="G79" s="19">
        <f t="shared" si="6"/>
        <v>1732.5200041035034</v>
      </c>
      <c r="H79" s="19">
        <f t="shared" si="6"/>
        <v>2008.5622115712122</v>
      </c>
      <c r="I79" s="19">
        <f t="shared" si="6"/>
        <v>1817.6968734143093</v>
      </c>
      <c r="J79" s="19">
        <f t="shared" si="6"/>
        <v>2223.2025411667892</v>
      </c>
      <c r="K79" s="19">
        <f t="shared" si="6"/>
        <v>1699.0613448512729</v>
      </c>
      <c r="L79" s="19">
        <f t="shared" si="6"/>
        <v>1891.3983537316897</v>
      </c>
      <c r="M79" s="73">
        <f t="shared" si="6"/>
        <v>639.82488596895632</v>
      </c>
      <c r="N79" s="19">
        <f t="shared" si="6"/>
        <v>2027.7500498044415</v>
      </c>
      <c r="O79" s="19">
        <f t="shared" si="6"/>
        <v>1373.1939013905387</v>
      </c>
      <c r="P79" s="19">
        <f t="shared" si="6"/>
        <v>1525.495964296091</v>
      </c>
      <c r="Q79" s="19">
        <f t="shared" si="6"/>
        <v>2173.4847703100381</v>
      </c>
      <c r="R79" s="19">
        <f t="shared" si="6"/>
        <v>1415.1226907994308</v>
      </c>
      <c r="S79" s="19">
        <f t="shared" si="6"/>
        <v>1614.9579993167242</v>
      </c>
      <c r="T79" s="19">
        <f t="shared" si="6"/>
        <v>1252.9501116637114</v>
      </c>
      <c r="U79" s="19">
        <f t="shared" si="6"/>
        <v>1645.9204609892984</v>
      </c>
      <c r="V79" s="19">
        <f t="shared" si="6"/>
        <v>2041.7748338729189</v>
      </c>
      <c r="W79" s="19">
        <f t="shared" si="6"/>
        <v>1090.0418697233604</v>
      </c>
      <c r="X79" s="19">
        <f t="shared" si="6"/>
        <v>1521.2012214823985</v>
      </c>
      <c r="Y79" s="75">
        <f t="shared" si="6"/>
        <v>831.76924032067654</v>
      </c>
    </row>
    <row r="83" spans="1:1" ht="18.75" x14ac:dyDescent="0.3">
      <c r="A83" s="107" t="s">
        <v>186</v>
      </c>
    </row>
    <row r="84" spans="1:1" x14ac:dyDescent="0.25">
      <c r="A84" s="106" t="s">
        <v>187</v>
      </c>
    </row>
  </sheetData>
  <conditionalFormatting sqref="C39:C42">
    <cfRule type="iconSet" priority="6">
      <iconSet iconSet="4Arrows">
        <cfvo type="percent" val="0"/>
        <cfvo type="num" val="-0.2"/>
        <cfvo type="num" val="0"/>
        <cfvo type="num" val="0.2"/>
      </iconSet>
    </cfRule>
  </conditionalFormatting>
  <conditionalFormatting sqref="C47:C50">
    <cfRule type="iconSet" priority="5">
      <iconSet iconSet="4Arrows">
        <cfvo type="percent" val="0"/>
        <cfvo type="num" val="-0.2"/>
        <cfvo type="num" val="0"/>
        <cfvo type="num" val="0.2"/>
      </iconSet>
    </cfRule>
  </conditionalFormatting>
  <conditionalFormatting sqref="H47:H50">
    <cfRule type="iconSet" priority="4">
      <iconSet iconSet="4Arrows">
        <cfvo type="percent" val="0"/>
        <cfvo type="num" val="-0.2"/>
        <cfvo type="num" val="0"/>
        <cfvo type="num" val="0.2"/>
      </iconSet>
    </cfRule>
  </conditionalFormatting>
  <conditionalFormatting sqref="C51">
    <cfRule type="iconSet" priority="3">
      <iconSet iconSet="4Arrows">
        <cfvo type="percent" val="0"/>
        <cfvo type="num" val="-0.2"/>
        <cfvo type="num" val="0"/>
        <cfvo type="num" val="0.2"/>
      </iconSet>
    </cfRule>
  </conditionalFormatting>
  <conditionalFormatting sqref="H51">
    <cfRule type="iconSet" priority="2">
      <iconSet iconSet="4Arrows">
        <cfvo type="percent" val="0"/>
        <cfvo type="num" val="-0.2"/>
        <cfvo type="num" val="0"/>
        <cfvo type="num" val="0.2"/>
      </iconSet>
    </cfRule>
  </conditionalFormatting>
  <conditionalFormatting sqref="C43">
    <cfRule type="iconSet" priority="1">
      <iconSet iconSet="4Arrows">
        <cfvo type="percent" val="0"/>
        <cfvo type="num" val="-0.2"/>
        <cfvo type="num" val="0"/>
        <cfvo type="num" val="0.2"/>
      </iconSet>
    </cfRule>
  </conditionalFormatting>
  <hyperlinks>
    <hyperlink ref="A84" r:id="rId1"/>
  </hyperlinks>
  <pageMargins left="0.70866141732283472" right="0.70866141732283472" top="0.78740157480314965" bottom="0.78740157480314965" header="0.31496062992125984" footer="0.31496062992125984"/>
  <pageSetup paperSize="9" orientation="landscape" verticalDpi="0" r:id="rId2"/>
  <ignoredErrors>
    <ignoredError sqref="C42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6:AB92"/>
  <sheetViews>
    <sheetView zoomScaleNormal="100" workbookViewId="0">
      <selection activeCell="A91" sqref="A91:A92"/>
    </sheetView>
  </sheetViews>
  <sheetFormatPr defaultRowHeight="15" x14ac:dyDescent="0.25"/>
  <cols>
    <col min="1" max="1" width="21.140625" style="18" customWidth="1"/>
    <col min="2" max="2" width="14.140625" style="18" customWidth="1"/>
    <col min="3" max="3" width="12" style="18" customWidth="1"/>
    <col min="4" max="4" width="12.140625" style="18" customWidth="1"/>
    <col min="5" max="5" width="11.28515625" style="18" bestFit="1" customWidth="1"/>
    <col min="6" max="6" width="22.28515625" style="18" customWidth="1"/>
    <col min="7" max="7" width="14.85546875" style="18" customWidth="1"/>
    <col min="8" max="8" width="13.140625" style="18" customWidth="1"/>
    <col min="9" max="9" width="11.42578125" style="18" bestFit="1" customWidth="1"/>
    <col min="10" max="12" width="11.28515625" style="18" bestFit="1" customWidth="1"/>
    <col min="13" max="13" width="9.85546875" style="18" bestFit="1" customWidth="1"/>
    <col min="14" max="17" width="11.28515625" style="18" bestFit="1" customWidth="1"/>
    <col min="18" max="18" width="9.85546875" style="18" bestFit="1" customWidth="1"/>
    <col min="19" max="25" width="11.28515625" style="18" bestFit="1" customWidth="1"/>
    <col min="26" max="16384" width="9.140625" style="18"/>
  </cols>
  <sheetData>
    <row r="36" spans="1:9" x14ac:dyDescent="0.25">
      <c r="A36" s="1" t="s">
        <v>111</v>
      </c>
    </row>
    <row r="37" spans="1:9" x14ac:dyDescent="0.25">
      <c r="A37" s="52"/>
      <c r="B37" s="54" t="str">
        <f>'nastavit-mesic'!B5</f>
        <v>2013-09</v>
      </c>
      <c r="C37" s="55" t="s">
        <v>108</v>
      </c>
      <c r="D37" s="26" t="str">
        <f>'nastavit-mesic'!B6</f>
        <v>2012-09</v>
      </c>
    </row>
    <row r="38" spans="1:9" x14ac:dyDescent="0.25">
      <c r="A38" s="53" t="s">
        <v>0</v>
      </c>
      <c r="B38" s="47">
        <f>Y60</f>
        <v>70700.271481561984</v>
      </c>
      <c r="C38" s="48">
        <f>(B38-D38)/D38</f>
        <v>0.4707245241781513</v>
      </c>
      <c r="D38" s="23">
        <f>M60</f>
        <v>48071.729490653372</v>
      </c>
      <c r="F38" s="78" t="s">
        <v>128</v>
      </c>
      <c r="G38" s="78">
        <v>19.5</v>
      </c>
    </row>
    <row r="39" spans="1:9" x14ac:dyDescent="0.25">
      <c r="A39" s="53" t="s">
        <v>1</v>
      </c>
      <c r="B39" s="47">
        <f>Y61</f>
        <v>916.52948509090481</v>
      </c>
      <c r="C39" s="48">
        <f t="shared" ref="C39:C42" si="0">(B39-D39)/D39</f>
        <v>1.2068740177540447</v>
      </c>
      <c r="D39" s="23">
        <f>M61</f>
        <v>415.30666350572426</v>
      </c>
    </row>
    <row r="40" spans="1:9" x14ac:dyDescent="0.25">
      <c r="A40" s="53" t="s">
        <v>2</v>
      </c>
      <c r="B40" s="49">
        <f>Y62</f>
        <v>1303238.6134926514</v>
      </c>
      <c r="C40" s="48">
        <f t="shared" si="0"/>
        <v>0.42995727009356333</v>
      </c>
      <c r="D40" s="24">
        <f>M62</f>
        <v>911382.90685243998</v>
      </c>
    </row>
    <row r="41" spans="1:9" x14ac:dyDescent="0.25">
      <c r="A41" s="53" t="s">
        <v>3</v>
      </c>
      <c r="B41" s="50">
        <f>B39/B38</f>
        <v>1.2963592160037571E-2</v>
      </c>
      <c r="C41" s="48">
        <f t="shared" si="0"/>
        <v>0.500535267804321</v>
      </c>
      <c r="D41" s="25">
        <f>D39/D38</f>
        <v>8.6393118763591122E-3</v>
      </c>
    </row>
    <row r="42" spans="1:9" x14ac:dyDescent="0.25">
      <c r="A42" s="53" t="s">
        <v>156</v>
      </c>
      <c r="B42" s="49">
        <f>B40/B39</f>
        <v>1421.9276462921334</v>
      </c>
      <c r="C42" s="48">
        <f t="shared" si="0"/>
        <v>-0.35204399590111479</v>
      </c>
      <c r="D42" s="24">
        <f>D40/D39</f>
        <v>2194.4817816290065</v>
      </c>
    </row>
    <row r="44" spans="1:9" x14ac:dyDescent="0.25">
      <c r="A44" s="1" t="s">
        <v>181</v>
      </c>
      <c r="F44" s="1" t="s">
        <v>182</v>
      </c>
    </row>
    <row r="45" spans="1:9" x14ac:dyDescent="0.25">
      <c r="A45" s="28"/>
      <c r="B45" s="29" t="str">
        <f>'nastavit-mesic'!B5</f>
        <v>2013-09</v>
      </c>
      <c r="C45" s="33" t="s">
        <v>108</v>
      </c>
      <c r="D45" s="26" t="str">
        <f>'nastavit-mesic'!B6</f>
        <v>2012-09</v>
      </c>
      <c r="F45" s="28"/>
      <c r="G45" s="29" t="str">
        <f>'nastavit-mesic'!B5</f>
        <v>2013-09</v>
      </c>
      <c r="H45" s="33" t="s">
        <v>108</v>
      </c>
      <c r="I45" s="26" t="str">
        <f>'nastavit-mesic'!B6</f>
        <v>2012-09</v>
      </c>
    </row>
    <row r="46" spans="1:9" x14ac:dyDescent="0.25">
      <c r="A46" s="27" t="s">
        <v>0</v>
      </c>
      <c r="B46" s="30">
        <f>Y65</f>
        <v>30125.752630910523</v>
      </c>
      <c r="C46" s="34">
        <f>(B46-D46)/D46</f>
        <v>-0.12160600958250396</v>
      </c>
      <c r="D46" s="23">
        <f>M65</f>
        <v>34296.401113345404</v>
      </c>
      <c r="F46" s="27" t="s">
        <v>0</v>
      </c>
      <c r="G46" s="30">
        <f>Y70</f>
        <v>31036.258420509988</v>
      </c>
      <c r="H46" s="34">
        <f>(G46-I46)/I46</f>
        <v>1.7381869824312577</v>
      </c>
      <c r="I46" s="23">
        <f>M70</f>
        <v>11334.601551919091</v>
      </c>
    </row>
    <row r="47" spans="1:9" x14ac:dyDescent="0.25">
      <c r="A47" s="27" t="s">
        <v>1</v>
      </c>
      <c r="B47" s="30">
        <f>Y66</f>
        <v>517.47080745760877</v>
      </c>
      <c r="C47" s="34">
        <f t="shared" ref="C47:C57" si="1">(B47-D47)/D47</f>
        <v>-5.6567109003250945E-2</v>
      </c>
      <c r="D47" s="23">
        <f>M66</f>
        <v>548.49773883852424</v>
      </c>
      <c r="F47" s="27" t="s">
        <v>1</v>
      </c>
      <c r="G47" s="30">
        <f>Y71</f>
        <v>325.16780739700255</v>
      </c>
      <c r="H47" s="34">
        <f t="shared" ref="H47:H57" si="2">(G47-I47)/I47</f>
        <v>0.97331286762809477</v>
      </c>
      <c r="I47" s="23">
        <f>M71</f>
        <v>164.78269246166295</v>
      </c>
    </row>
    <row r="48" spans="1:9" x14ac:dyDescent="0.25">
      <c r="A48" s="27" t="s">
        <v>2</v>
      </c>
      <c r="B48" s="31">
        <f>Y67</f>
        <v>604963.86071667739</v>
      </c>
      <c r="C48" s="34">
        <f t="shared" si="1"/>
        <v>-6.1189835483102216E-2</v>
      </c>
      <c r="D48" s="24">
        <f>M67</f>
        <v>644394.23813437903</v>
      </c>
      <c r="F48" s="27" t="s">
        <v>2</v>
      </c>
      <c r="G48" s="31">
        <f>Y72</f>
        <v>424715.26572370017</v>
      </c>
      <c r="H48" s="34">
        <f t="shared" si="2"/>
        <v>1.070924496093407</v>
      </c>
      <c r="I48" s="24">
        <f>M72</f>
        <v>205084.86259392038</v>
      </c>
    </row>
    <row r="49" spans="1:28" x14ac:dyDescent="0.25">
      <c r="A49" s="27" t="s">
        <v>3</v>
      </c>
      <c r="B49" s="32">
        <f>B47/B46</f>
        <v>1.7177025045563774E-2</v>
      </c>
      <c r="C49" s="34">
        <f t="shared" si="1"/>
        <v>7.4042970795303878E-2</v>
      </c>
      <c r="D49" s="25">
        <f>D47/D46</f>
        <v>1.5992865753634219E-2</v>
      </c>
      <c r="F49" s="27" t="s">
        <v>3</v>
      </c>
      <c r="G49" s="32">
        <f>G47/G46</f>
        <v>1.0477029898105204E-2</v>
      </c>
      <c r="H49" s="34">
        <f t="shared" si="2"/>
        <v>-0.27933596927848414</v>
      </c>
      <c r="I49" s="25">
        <f>I47/I46</f>
        <v>1.4538022506292967E-2</v>
      </c>
    </row>
    <row r="50" spans="1:28" x14ac:dyDescent="0.25">
      <c r="A50" s="27" t="s">
        <v>126</v>
      </c>
      <c r="B50" s="79">
        <f>Y76</f>
        <v>4639.8031465263339</v>
      </c>
      <c r="C50" s="34">
        <f t="shared" si="1"/>
        <v>0.23828783095530984</v>
      </c>
      <c r="D50" s="68">
        <f>M76</f>
        <v>3746.9504508873638</v>
      </c>
      <c r="F50" s="27"/>
      <c r="G50" s="79"/>
      <c r="H50" s="34"/>
      <c r="I50" s="68"/>
    </row>
    <row r="51" spans="1:28" x14ac:dyDescent="0.25">
      <c r="A51" s="27" t="s">
        <v>127</v>
      </c>
      <c r="B51" s="80">
        <f>B50*G38</f>
        <v>90476.161357263511</v>
      </c>
      <c r="C51" s="34">
        <f t="shared" si="1"/>
        <v>0.23828783095530975</v>
      </c>
      <c r="D51" s="69">
        <f>D50*G38</f>
        <v>73065.533792303599</v>
      </c>
      <c r="F51" s="27" t="s">
        <v>127</v>
      </c>
      <c r="G51" s="80">
        <f>Y79</f>
        <v>90737.717622962882</v>
      </c>
      <c r="H51" s="34">
        <f t="shared" si="2"/>
        <v>1.2535526868358897</v>
      </c>
      <c r="I51" s="69">
        <f>M79</f>
        <v>40264.298302412251</v>
      </c>
    </row>
    <row r="52" spans="1:28" x14ac:dyDescent="0.25">
      <c r="A52" s="27" t="s">
        <v>129</v>
      </c>
      <c r="B52" s="30">
        <f>Y77</f>
        <v>29433.504627633185</v>
      </c>
      <c r="C52" s="34">
        <f t="shared" si="1"/>
        <v>0.30004066058456247</v>
      </c>
      <c r="D52" s="23">
        <f>M77</f>
        <v>22640.449272100788</v>
      </c>
      <c r="F52" s="27" t="s">
        <v>129</v>
      </c>
      <c r="G52" s="30">
        <f>Y80</f>
        <v>38909.442164522217</v>
      </c>
      <c r="H52" s="34">
        <f t="shared" si="2"/>
        <v>0.89579909516264022</v>
      </c>
      <c r="I52" s="23">
        <f>M80</f>
        <v>20524.032458821373</v>
      </c>
    </row>
    <row r="53" spans="1:28" x14ac:dyDescent="0.25">
      <c r="A53" s="27" t="s">
        <v>130</v>
      </c>
      <c r="B53" s="30">
        <f>Y78</f>
        <v>1010.9282953478471</v>
      </c>
      <c r="C53" s="34">
        <f t="shared" si="1"/>
        <v>1.0482589476604764</v>
      </c>
      <c r="D53" s="23">
        <f>M78</f>
        <v>493.55492697958454</v>
      </c>
      <c r="F53" s="27" t="s">
        <v>130</v>
      </c>
      <c r="G53" s="30">
        <f>Y81</f>
        <v>409.57308446336828</v>
      </c>
      <c r="H53" s="34">
        <f t="shared" si="2"/>
        <v>0.648215820590192</v>
      </c>
      <c r="I53" s="23">
        <f>M81</f>
        <v>248.49481442103172</v>
      </c>
    </row>
    <row r="54" spans="1:28" x14ac:dyDescent="0.25">
      <c r="A54" s="27" t="s">
        <v>131</v>
      </c>
      <c r="B54" s="80">
        <f>B51/B53</f>
        <v>89.498099690771696</v>
      </c>
      <c r="C54" s="34">
        <f t="shared" si="1"/>
        <v>-0.39544370970785536</v>
      </c>
      <c r="D54" s="69">
        <f>D51/D53</f>
        <v>148.03931598747042</v>
      </c>
      <c r="F54" s="27" t="s">
        <v>131</v>
      </c>
      <c r="G54" s="80">
        <f>G51/G53</f>
        <v>221.54218884243687</v>
      </c>
      <c r="H54" s="34">
        <f t="shared" si="2"/>
        <v>0.36726796253474814</v>
      </c>
      <c r="I54" s="69">
        <f>I51/I53</f>
        <v>162.03275064803293</v>
      </c>
    </row>
    <row r="55" spans="1:28" x14ac:dyDescent="0.25">
      <c r="A55" s="27" t="s">
        <v>132</v>
      </c>
      <c r="B55" s="80">
        <f>B51/B52</f>
        <v>3.073917377556235</v>
      </c>
      <c r="C55" s="34">
        <f t="shared" si="1"/>
        <v>-4.7500690941070747E-2</v>
      </c>
      <c r="D55" s="69">
        <f>D51/D52</f>
        <v>3.2272121862148855</v>
      </c>
      <c r="F55" s="27" t="s">
        <v>132</v>
      </c>
      <c r="G55" s="80">
        <f>G51/G52</f>
        <v>2.332023091960385</v>
      </c>
      <c r="H55" s="34">
        <f t="shared" si="2"/>
        <v>0.18870859923190217</v>
      </c>
      <c r="I55" s="69">
        <f>I51/I52</f>
        <v>1.9618122502581783</v>
      </c>
    </row>
    <row r="56" spans="1:28" x14ac:dyDescent="0.25">
      <c r="A56" s="27" t="s">
        <v>133</v>
      </c>
      <c r="B56" s="32">
        <f>B51/B48</f>
        <v>0.14955630779346041</v>
      </c>
      <c r="C56" s="34">
        <f t="shared" si="1"/>
        <v>0.31899704302042803</v>
      </c>
      <c r="D56" s="25">
        <f>D51/D48</f>
        <v>0.11338638595503216</v>
      </c>
      <c r="F56" s="27" t="s">
        <v>133</v>
      </c>
      <c r="G56" s="32">
        <f>G51/G48</f>
        <v>0.21364364539228167</v>
      </c>
      <c r="H56" s="34">
        <f t="shared" si="2"/>
        <v>8.8186793428245591E-2</v>
      </c>
      <c r="I56" s="25">
        <f>I51/I48</f>
        <v>0.19632993772991347</v>
      </c>
    </row>
    <row r="57" spans="1:28" x14ac:dyDescent="0.25">
      <c r="A57" s="27" t="s">
        <v>156</v>
      </c>
      <c r="B57" s="31">
        <f>B48/B47</f>
        <v>1169.0782397734313</v>
      </c>
      <c r="C57" s="34">
        <f t="shared" si="1"/>
        <v>-4.8998996367057047E-3</v>
      </c>
      <c r="D57" s="24">
        <f>D48/D47</f>
        <v>1174.8348124441154</v>
      </c>
      <c r="F57" s="27" t="s">
        <v>156</v>
      </c>
      <c r="G57" s="31">
        <f>G48/G47</f>
        <v>1306.1418014396443</v>
      </c>
      <c r="H57" s="34">
        <f t="shared" si="2"/>
        <v>4.9465865279964771E-2</v>
      </c>
      <c r="I57" s="24">
        <f>I48/I47</f>
        <v>1244.5776891382802</v>
      </c>
    </row>
    <row r="58" spans="1:28" x14ac:dyDescent="0.25">
      <c r="M58" s="1" t="s">
        <v>109</v>
      </c>
      <c r="Y58" s="1" t="s">
        <v>33</v>
      </c>
    </row>
    <row r="59" spans="1:28" x14ac:dyDescent="0.25">
      <c r="A59" s="2"/>
      <c r="B59" s="6" t="str">
        <f>'nastavit-mesic'!Z22</f>
        <v>2011-09</v>
      </c>
      <c r="C59" s="6" t="str">
        <f>'nastavit-mesic'!Y22</f>
        <v>2011-10</v>
      </c>
      <c r="D59" s="6" t="str">
        <f>'nastavit-mesic'!X22</f>
        <v>2011-11</v>
      </c>
      <c r="E59" s="6" t="str">
        <f>'nastavit-mesic'!W22</f>
        <v>2011-12</v>
      </c>
      <c r="F59" s="6" t="str">
        <f>'nastavit-mesic'!V22</f>
        <v>2012-01</v>
      </c>
      <c r="G59" s="6" t="str">
        <f>'nastavit-mesic'!U22</f>
        <v>2012-02</v>
      </c>
      <c r="H59" s="6" t="str">
        <f>'nastavit-mesic'!T22</f>
        <v>2012-03</v>
      </c>
      <c r="I59" s="6" t="str">
        <f>'nastavit-mesic'!S22</f>
        <v>2012-04</v>
      </c>
      <c r="J59" s="6" t="str">
        <f>'nastavit-mesic'!Q22</f>
        <v>2012-06</v>
      </c>
      <c r="K59" s="6" t="str">
        <f>'nastavit-mesic'!P22</f>
        <v>2012-07</v>
      </c>
      <c r="L59" s="6" t="str">
        <f>'nastavit-mesic'!O22</f>
        <v>2012-08</v>
      </c>
      <c r="M59" s="76" t="str">
        <f>'nastavit-mesic'!N22</f>
        <v>2012-09</v>
      </c>
      <c r="N59" s="6" t="str">
        <f>'nastavit-mesic'!M22</f>
        <v>2012-10</v>
      </c>
      <c r="O59" s="6" t="str">
        <f>'nastavit-mesic'!L22</f>
        <v>2012-11</v>
      </c>
      <c r="P59" s="6" t="str">
        <f>'nastavit-mesic'!K22</f>
        <v>2012-12</v>
      </c>
      <c r="Q59" s="6" t="str">
        <f>'nastavit-mesic'!J22</f>
        <v>2013-01</v>
      </c>
      <c r="R59" s="6" t="str">
        <f>'nastavit-mesic'!I22</f>
        <v>2013-02</v>
      </c>
      <c r="S59" s="6" t="str">
        <f>'nastavit-mesic'!H22</f>
        <v>2013-03</v>
      </c>
      <c r="T59" s="6" t="str">
        <f>'nastavit-mesic'!G22</f>
        <v>2013-04</v>
      </c>
      <c r="U59" s="6" t="str">
        <f>'nastavit-mesic'!F22</f>
        <v>2013-05</v>
      </c>
      <c r="V59" s="6" t="str">
        <f>'nastavit-mesic'!E22</f>
        <v>2013-06</v>
      </c>
      <c r="W59" s="6" t="str">
        <f>'nastavit-mesic'!D22</f>
        <v>2013-07</v>
      </c>
      <c r="X59" s="6" t="str">
        <f>'nastavit-mesic'!C22</f>
        <v>2013-08</v>
      </c>
      <c r="Y59" s="77" t="str">
        <f>'nastavit-mesic'!B22</f>
        <v>2013-09</v>
      </c>
      <c r="Z59" s="7"/>
      <c r="AA59" s="7"/>
      <c r="AB59" s="7"/>
    </row>
    <row r="60" spans="1:28" s="3" customFormat="1" x14ac:dyDescent="0.25">
      <c r="A60" s="3" t="str">
        <f>'nastavit-mesic'!A45</f>
        <v>cpc - Návštěvy</v>
      </c>
      <c r="B60" s="3">
        <f>'nastavit-mesic'!Z45</f>
        <v>57415.460611426694</v>
      </c>
      <c r="C60" s="20">
        <f>'nastavit-mesic'!Y45</f>
        <v>88771.556080224196</v>
      </c>
      <c r="D60" s="20">
        <f>'nastavit-mesic'!X45</f>
        <v>80601.823779468847</v>
      </c>
      <c r="E60" s="20">
        <f>'nastavit-mesic'!W45</f>
        <v>86099.582918459288</v>
      </c>
      <c r="F60" s="20">
        <f>'nastavit-mesic'!V45</f>
        <v>64738.582049830227</v>
      </c>
      <c r="G60" s="20">
        <f>'nastavit-mesic'!U45</f>
        <v>72783.4691291864</v>
      </c>
      <c r="H60" s="20">
        <f>'nastavit-mesic'!T45</f>
        <v>90537.58505650454</v>
      </c>
      <c r="I60" s="20">
        <f>'nastavit-mesic'!S45</f>
        <v>37370.494458051107</v>
      </c>
      <c r="J60" s="20">
        <f>'nastavit-mesic'!Q45</f>
        <v>35491.964066236884</v>
      </c>
      <c r="K60" s="20">
        <f>'nastavit-mesic'!P45</f>
        <v>31954.701888448904</v>
      </c>
      <c r="L60" s="20">
        <f>'nastavit-mesic'!O45</f>
        <v>41634.542409035574</v>
      </c>
      <c r="M60" s="36">
        <f>'nastavit-mesic'!N45</f>
        <v>48071.729490653372</v>
      </c>
      <c r="N60" s="20">
        <f>'nastavit-mesic'!M45</f>
        <v>49719.818410323991</v>
      </c>
      <c r="O60" s="20">
        <f>'nastavit-mesic'!L45</f>
        <v>47064.432911393247</v>
      </c>
      <c r="P60" s="20">
        <f>'nastavit-mesic'!K45</f>
        <v>39248.545663798781</v>
      </c>
      <c r="Q60" s="20">
        <f>'nastavit-mesic'!J45</f>
        <v>43237.76216916414</v>
      </c>
      <c r="R60" s="20">
        <f>'nastavit-mesic'!I45</f>
        <v>28669.914346410627</v>
      </c>
      <c r="S60" s="20">
        <f>'nastavit-mesic'!H45</f>
        <v>43867.693809533135</v>
      </c>
      <c r="T60" s="20">
        <f>'nastavit-mesic'!G45</f>
        <v>69657.033581191718</v>
      </c>
      <c r="U60" s="20">
        <f>'nastavit-mesic'!F45</f>
        <v>84121.454774298487</v>
      </c>
      <c r="V60" s="20">
        <f>'nastavit-mesic'!E45</f>
        <v>49720.774674934277</v>
      </c>
      <c r="W60" s="20">
        <f>'nastavit-mesic'!D45</f>
        <v>101439.13276511112</v>
      </c>
      <c r="X60" s="20">
        <f>'nastavit-mesic'!C45</f>
        <v>88825.709220358665</v>
      </c>
      <c r="Y60" s="40">
        <f>'nastavit-mesic'!B45</f>
        <v>70700.271481561984</v>
      </c>
    </row>
    <row r="61" spans="1:28" s="3" customFormat="1" x14ac:dyDescent="0.25">
      <c r="A61" s="3" t="str">
        <f>'nastavit-mesic'!A46</f>
        <v>cpc - Transakce</v>
      </c>
      <c r="B61" s="3">
        <f>'nastavit-mesic'!Z46</f>
        <v>869.84338588990306</v>
      </c>
      <c r="C61" s="20">
        <f>'nastavit-mesic'!Y46</f>
        <v>998.19370113595471</v>
      </c>
      <c r="D61" s="20">
        <f>'nastavit-mesic'!X46</f>
        <v>950.75824726939607</v>
      </c>
      <c r="E61" s="20">
        <f>'nastavit-mesic'!W46</f>
        <v>2003.5934314602348</v>
      </c>
      <c r="F61" s="20">
        <f>'nastavit-mesic'!V46</f>
        <v>1322.3507481056406</v>
      </c>
      <c r="G61" s="20">
        <f>'nastavit-mesic'!U46</f>
        <v>945.85278416199208</v>
      </c>
      <c r="H61" s="20">
        <f>'nastavit-mesic'!T46</f>
        <v>802.73188753879037</v>
      </c>
      <c r="I61" s="20">
        <f>'nastavit-mesic'!S46</f>
        <v>537.52436677948685</v>
      </c>
      <c r="J61" s="20">
        <f>'nastavit-mesic'!Q46</f>
        <v>613.52808839705369</v>
      </c>
      <c r="K61" s="20">
        <f>'nastavit-mesic'!P46</f>
        <v>804.25244219113245</v>
      </c>
      <c r="L61" s="20">
        <f>'nastavit-mesic'!O46</f>
        <v>539.43687906687978</v>
      </c>
      <c r="M61" s="36">
        <f>'nastavit-mesic'!N46</f>
        <v>415.30666350572426</v>
      </c>
      <c r="N61" s="20">
        <f>'nastavit-mesic'!M46</f>
        <v>724.01501083237781</v>
      </c>
      <c r="O61" s="20">
        <f>'nastavit-mesic'!L46</f>
        <v>1478.9813102933244</v>
      </c>
      <c r="P61" s="20">
        <f>'nastavit-mesic'!K46</f>
        <v>1320.3820378500059</v>
      </c>
      <c r="Q61" s="20">
        <f>'nastavit-mesic'!J46</f>
        <v>1130.2622944323164</v>
      </c>
      <c r="R61" s="20">
        <f>'nastavit-mesic'!I46</f>
        <v>738.60373628524155</v>
      </c>
      <c r="S61" s="20">
        <f>'nastavit-mesic'!H46</f>
        <v>774.30692637541733</v>
      </c>
      <c r="T61" s="20">
        <f>'nastavit-mesic'!G46</f>
        <v>638.37966068790229</v>
      </c>
      <c r="U61" s="20">
        <f>'nastavit-mesic'!F46</f>
        <v>1003.9149626667989</v>
      </c>
      <c r="V61" s="20">
        <f>'nastavit-mesic'!E46</f>
        <v>848.87109089679336</v>
      </c>
      <c r="W61" s="20">
        <f>'nastavit-mesic'!D46</f>
        <v>1239.2667944662719</v>
      </c>
      <c r="X61" s="20">
        <f>'nastavit-mesic'!C46</f>
        <v>669.07059067759462</v>
      </c>
      <c r="Y61" s="40">
        <f>'nastavit-mesic'!B46</f>
        <v>916.52948509090481</v>
      </c>
    </row>
    <row r="62" spans="1:28" s="19" customFormat="1" x14ac:dyDescent="0.25">
      <c r="A62" s="19" t="str">
        <f>'nastavit-mesic'!A47</f>
        <v>cpc - Obrat</v>
      </c>
      <c r="B62" s="19">
        <f>'nastavit-mesic'!Z47</f>
        <v>835188.60433776514</v>
      </c>
      <c r="C62" s="21">
        <f>'nastavit-mesic'!Y47</f>
        <v>840563.3970567754</v>
      </c>
      <c r="D62" s="21">
        <f>'nastavit-mesic'!X47</f>
        <v>1700967.095527072</v>
      </c>
      <c r="E62" s="21">
        <f>'nastavit-mesic'!W47</f>
        <v>1766352.1855515323</v>
      </c>
      <c r="F62" s="21">
        <f>'nastavit-mesic'!V47</f>
        <v>1256377.8430886078</v>
      </c>
      <c r="G62" s="21">
        <f>'nastavit-mesic'!U47</f>
        <v>1727304.5392768611</v>
      </c>
      <c r="H62" s="21">
        <f>'nastavit-mesic'!T47</f>
        <v>1759024.7946753963</v>
      </c>
      <c r="I62" s="21">
        <f>'nastavit-mesic'!S47</f>
        <v>673208.9297773944</v>
      </c>
      <c r="J62" s="21">
        <f>'nastavit-mesic'!Q47</f>
        <v>1710651.2987210702</v>
      </c>
      <c r="K62" s="21">
        <f>'nastavit-mesic'!P47</f>
        <v>1269661.9340164301</v>
      </c>
      <c r="L62" s="21">
        <f>'nastavit-mesic'!O47</f>
        <v>1174054.463646529</v>
      </c>
      <c r="M62" s="37">
        <f>'nastavit-mesic'!N47</f>
        <v>911382.90685243998</v>
      </c>
      <c r="N62" s="21">
        <f>'nastavit-mesic'!M47</f>
        <v>730670.40559006063</v>
      </c>
      <c r="O62" s="21">
        <f>'nastavit-mesic'!L47</f>
        <v>1331046.4854594802</v>
      </c>
      <c r="P62" s="21">
        <f>'nastavit-mesic'!K47</f>
        <v>1533198.4467603411</v>
      </c>
      <c r="Q62" s="21">
        <f>'nastavit-mesic'!J47</f>
        <v>1143577.5505522555</v>
      </c>
      <c r="R62" s="21">
        <f>'nastavit-mesic'!I47</f>
        <v>715114.55716700898</v>
      </c>
      <c r="S62" s="21">
        <f>'nastavit-mesic'!H47</f>
        <v>840721.89584959648</v>
      </c>
      <c r="T62" s="21">
        <f>'nastavit-mesic'!G47</f>
        <v>1484790.8238406845</v>
      </c>
      <c r="U62" s="21">
        <f>'nastavit-mesic'!F47</f>
        <v>864370.15001439268</v>
      </c>
      <c r="V62" s="21">
        <f>'nastavit-mesic'!E47</f>
        <v>963783.26334459952</v>
      </c>
      <c r="W62" s="21">
        <f>'nastavit-mesic'!D47</f>
        <v>2319694.2712367917</v>
      </c>
      <c r="X62" s="21">
        <f>'nastavit-mesic'!C47</f>
        <v>1637535.8854867688</v>
      </c>
      <c r="Y62" s="41">
        <f>'nastavit-mesic'!B47</f>
        <v>1303238.6134926514</v>
      </c>
    </row>
    <row r="63" spans="1:28" s="5" customFormat="1" x14ac:dyDescent="0.25">
      <c r="A63" s="5" t="str">
        <f>'nastavit-mesic'!A48</f>
        <v>cpc - KP</v>
      </c>
      <c r="B63" s="5">
        <f>'nastavit-mesic'!Z48</f>
        <v>1.5149985328460272E-2</v>
      </c>
      <c r="C63" s="22">
        <f>'nastavit-mesic'!Y48</f>
        <v>1.1244521840237564E-2</v>
      </c>
      <c r="D63" s="22">
        <f>'nastavit-mesic'!X48</f>
        <v>1.179574112207094E-2</v>
      </c>
      <c r="E63" s="22">
        <f>'nastavit-mesic'!W48</f>
        <v>2.3270652000227925E-2</v>
      </c>
      <c r="F63" s="22">
        <f>'nastavit-mesic'!V48</f>
        <v>2.0426007277820946E-2</v>
      </c>
      <c r="G63" s="22">
        <f>'nastavit-mesic'!U48</f>
        <v>1.2995434203378774E-2</v>
      </c>
      <c r="H63" s="22">
        <f>'nastavit-mesic'!T48</f>
        <v>8.8662834008418172E-3</v>
      </c>
      <c r="I63" s="22">
        <f>'nastavit-mesic'!S48</f>
        <v>1.4383656801299896E-2</v>
      </c>
      <c r="J63" s="22">
        <f>'nastavit-mesic'!Q48</f>
        <v>1.728639438640411E-2</v>
      </c>
      <c r="K63" s="22">
        <f>'nastavit-mesic'!P48</f>
        <v>2.5168516514367995E-2</v>
      </c>
      <c r="L63" s="22">
        <f>'nastavit-mesic'!O48</f>
        <v>1.2956474308453324E-2</v>
      </c>
      <c r="M63" s="38">
        <f>'nastavit-mesic'!N48</f>
        <v>8.6393118763591122E-3</v>
      </c>
      <c r="N63" s="22">
        <f>'nastavit-mesic'!M48</f>
        <v>1.4561899741010334E-2</v>
      </c>
      <c r="O63" s="22">
        <f>'nastavit-mesic'!L48</f>
        <v>3.1424607050461156E-2</v>
      </c>
      <c r="P63" s="22">
        <f>'nastavit-mesic'!K48</f>
        <v>3.3641553222387835E-2</v>
      </c>
      <c r="Q63" s="22">
        <f>'nastavit-mesic'!J48</f>
        <v>2.6140628879225049E-2</v>
      </c>
      <c r="R63" s="22">
        <f>'nastavit-mesic'!I48</f>
        <v>2.5762327970739549E-2</v>
      </c>
      <c r="S63" s="22">
        <f>'nastavit-mesic'!H48</f>
        <v>1.7650960402371286E-2</v>
      </c>
      <c r="T63" s="22">
        <f>'nastavit-mesic'!G48</f>
        <v>9.1646116388779571E-3</v>
      </c>
      <c r="U63" s="22">
        <f>'nastavit-mesic'!F48</f>
        <v>1.1934113186229915E-2</v>
      </c>
      <c r="V63" s="22">
        <f>'nastavit-mesic'!E48</f>
        <v>1.7072764783866785E-2</v>
      </c>
      <c r="W63" s="22">
        <f>'nastavit-mesic'!D48</f>
        <v>1.2216851235665375E-2</v>
      </c>
      <c r="X63" s="22">
        <f>'nastavit-mesic'!C48</f>
        <v>7.5323979571923876E-3</v>
      </c>
      <c r="Y63" s="42">
        <f>'nastavit-mesic'!B48</f>
        <v>1.2963592160037571E-2</v>
      </c>
    </row>
    <row r="64" spans="1:28" x14ac:dyDescent="0.25">
      <c r="A64" s="18" t="s">
        <v>161</v>
      </c>
      <c r="B64" s="19">
        <f t="shared" ref="B64:Y64" si="3">B62/B61</f>
        <v>960.15974586426967</v>
      </c>
      <c r="C64" s="19">
        <f t="shared" si="3"/>
        <v>842.08445324810771</v>
      </c>
      <c r="D64" s="19">
        <f t="shared" si="3"/>
        <v>1789.0637293047905</v>
      </c>
      <c r="E64" s="19">
        <f t="shared" si="3"/>
        <v>881.59212234200675</v>
      </c>
      <c r="F64" s="19">
        <f t="shared" si="3"/>
        <v>950.10937520809546</v>
      </c>
      <c r="G64" s="19">
        <f t="shared" si="3"/>
        <v>1826.1875084580111</v>
      </c>
      <c r="H64" s="19">
        <f t="shared" si="3"/>
        <v>2191.2980186555687</v>
      </c>
      <c r="I64" s="19">
        <f t="shared" si="3"/>
        <v>1252.4249529576593</v>
      </c>
      <c r="J64" s="19">
        <f t="shared" si="3"/>
        <v>2788.2200197067377</v>
      </c>
      <c r="K64" s="19">
        <f t="shared" si="3"/>
        <v>1578.6858297344056</v>
      </c>
      <c r="L64" s="19">
        <f t="shared" si="3"/>
        <v>2176.4445650757389</v>
      </c>
      <c r="M64" s="73">
        <f t="shared" si="3"/>
        <v>2194.4817816290065</v>
      </c>
      <c r="N64" s="19">
        <f t="shared" si="3"/>
        <v>1009.1923436090522</v>
      </c>
      <c r="O64" s="19">
        <f t="shared" si="3"/>
        <v>899.97518981189523</v>
      </c>
      <c r="P64" s="19">
        <f t="shared" si="3"/>
        <v>1161.1779036746568</v>
      </c>
      <c r="Q64" s="19">
        <f t="shared" si="3"/>
        <v>1011.7806779767229</v>
      </c>
      <c r="R64" s="19">
        <f t="shared" si="3"/>
        <v>968.19786041650718</v>
      </c>
      <c r="S64" s="19">
        <f t="shared" si="3"/>
        <v>1085.7734410113985</v>
      </c>
      <c r="T64" s="19">
        <f t="shared" si="3"/>
        <v>2325.8742646040919</v>
      </c>
      <c r="U64" s="19">
        <f t="shared" si="3"/>
        <v>860.9993696261688</v>
      </c>
      <c r="V64" s="19">
        <f t="shared" si="3"/>
        <v>1135.3705806218547</v>
      </c>
      <c r="W64" s="19">
        <f t="shared" si="3"/>
        <v>1871.827988609861</v>
      </c>
      <c r="X64" s="19">
        <f t="shared" si="3"/>
        <v>2447.4784997325478</v>
      </c>
      <c r="Y64" s="75">
        <f t="shared" si="3"/>
        <v>1421.9276462921334</v>
      </c>
    </row>
    <row r="65" spans="1:25" s="3" customFormat="1" x14ac:dyDescent="0.25">
      <c r="A65" s="3" t="str">
        <f>'nastavit-mesic'!A49</f>
        <v>adwords - Návštěvy</v>
      </c>
      <c r="B65" s="3">
        <f>'nastavit-mesic'!Z49</f>
        <v>39791.176752194762</v>
      </c>
      <c r="C65" s="20">
        <f>'nastavit-mesic'!Y49</f>
        <v>35719.928257406398</v>
      </c>
      <c r="D65" s="20">
        <f>'nastavit-mesic'!X49</f>
        <v>53827.791369503975</v>
      </c>
      <c r="E65" s="20">
        <f>'nastavit-mesic'!W49</f>
        <v>37168.641004492427</v>
      </c>
      <c r="F65" s="20">
        <f>'nastavit-mesic'!V49</f>
        <v>46550.47834082698</v>
      </c>
      <c r="G65" s="20">
        <f>'nastavit-mesic'!U49</f>
        <v>51069.818400651762</v>
      </c>
      <c r="H65" s="20">
        <f>'nastavit-mesic'!T49</f>
        <v>43329.705510090142</v>
      </c>
      <c r="I65" s="20">
        <f>'nastavit-mesic'!S49</f>
        <v>27476.5958186194</v>
      </c>
      <c r="J65" s="20">
        <f>'nastavit-mesic'!Q49</f>
        <v>29038.926708846549</v>
      </c>
      <c r="K65" s="20">
        <f>'nastavit-mesic'!P49</f>
        <v>39768.474350669327</v>
      </c>
      <c r="L65" s="20">
        <f>'nastavit-mesic'!O49</f>
        <v>40411.482504394633</v>
      </c>
      <c r="M65" s="36">
        <f>'nastavit-mesic'!N49</f>
        <v>34296.401113345404</v>
      </c>
      <c r="N65" s="20">
        <f>'nastavit-mesic'!M49</f>
        <v>33433.075721738751</v>
      </c>
      <c r="O65" s="20">
        <f>'nastavit-mesic'!L49</f>
        <v>45838.830558782836</v>
      </c>
      <c r="P65" s="20">
        <f>'nastavit-mesic'!K49</f>
        <v>35250.521486549864</v>
      </c>
      <c r="Q65" s="20">
        <f>'nastavit-mesic'!J49</f>
        <v>41747.399904554943</v>
      </c>
      <c r="R65" s="20">
        <f>'nastavit-mesic'!I49</f>
        <v>31062.409729176692</v>
      </c>
      <c r="S65" s="20">
        <f>'nastavit-mesic'!H49</f>
        <v>35007.459127017901</v>
      </c>
      <c r="T65" s="20">
        <f>'nastavit-mesic'!G49</f>
        <v>61430.545125500255</v>
      </c>
      <c r="U65" s="20">
        <f>'nastavit-mesic'!F49</f>
        <v>45281.612824536678</v>
      </c>
      <c r="V65" s="20">
        <f>'nastavit-mesic'!E49</f>
        <v>40022.708873751602</v>
      </c>
      <c r="W65" s="20">
        <f>'nastavit-mesic'!D49</f>
        <v>36204.5427422789</v>
      </c>
      <c r="X65" s="20">
        <f>'nastavit-mesic'!C49</f>
        <v>34452.285587959246</v>
      </c>
      <c r="Y65" s="40">
        <f>'nastavit-mesic'!B49</f>
        <v>30125.752630910523</v>
      </c>
    </row>
    <row r="66" spans="1:25" s="3" customFormat="1" x14ac:dyDescent="0.25">
      <c r="A66" s="3" t="str">
        <f>'nastavit-mesic'!A50</f>
        <v>adwords - Transakce</v>
      </c>
      <c r="B66" s="3">
        <f>'nastavit-mesic'!Z50</f>
        <v>350.26481215047642</v>
      </c>
      <c r="C66" s="20">
        <f>'nastavit-mesic'!Y50</f>
        <v>409.07543345442355</v>
      </c>
      <c r="D66" s="20">
        <f>'nastavit-mesic'!X50</f>
        <v>680.5589209913868</v>
      </c>
      <c r="E66" s="20">
        <f>'nastavit-mesic'!W50</f>
        <v>986.5958524634176</v>
      </c>
      <c r="F66" s="20">
        <f>'nastavit-mesic'!V50</f>
        <v>580.94808403858747</v>
      </c>
      <c r="G66" s="20">
        <f>'nastavit-mesic'!U50</f>
        <v>671.48454430554239</v>
      </c>
      <c r="H66" s="20">
        <f>'nastavit-mesic'!T50</f>
        <v>474.78918115239304</v>
      </c>
      <c r="I66" s="20">
        <f>'nastavit-mesic'!S50</f>
        <v>483.81507233462912</v>
      </c>
      <c r="J66" s="20">
        <f>'nastavit-mesic'!Q50</f>
        <v>534.54624899650992</v>
      </c>
      <c r="K66" s="20">
        <f>'nastavit-mesic'!P50</f>
        <v>406.24972135881313</v>
      </c>
      <c r="L66" s="20">
        <f>'nastavit-mesic'!O50</f>
        <v>583.40796522308574</v>
      </c>
      <c r="M66" s="36">
        <f>'nastavit-mesic'!N50</f>
        <v>548.49773883852424</v>
      </c>
      <c r="N66" s="20">
        <f>'nastavit-mesic'!M50</f>
        <v>779.79838946993664</v>
      </c>
      <c r="O66" s="20">
        <f>'nastavit-mesic'!L50</f>
        <v>912.63448469661762</v>
      </c>
      <c r="P66" s="20">
        <f>'nastavit-mesic'!K50</f>
        <v>664.40406803751557</v>
      </c>
      <c r="Q66" s="20">
        <f>'nastavit-mesic'!J50</f>
        <v>574.5290058599528</v>
      </c>
      <c r="R66" s="20">
        <f>'nastavit-mesic'!I50</f>
        <v>409.96815411983323</v>
      </c>
      <c r="S66" s="20">
        <f>'nastavit-mesic'!H50</f>
        <v>584.41643470548399</v>
      </c>
      <c r="T66" s="20">
        <f>'nastavit-mesic'!G50</f>
        <v>620.51738170094143</v>
      </c>
      <c r="U66" s="20">
        <f>'nastavit-mesic'!F50</f>
        <v>616.87877354024431</v>
      </c>
      <c r="V66" s="20">
        <f>'nastavit-mesic'!E50</f>
        <v>589.40744728579841</v>
      </c>
      <c r="W66" s="20">
        <f>'nastavit-mesic'!D50</f>
        <v>790.86806934711228</v>
      </c>
      <c r="X66" s="20">
        <f>'nastavit-mesic'!C50</f>
        <v>498.75081860032446</v>
      </c>
      <c r="Y66" s="40">
        <f>'nastavit-mesic'!B50</f>
        <v>517.47080745760877</v>
      </c>
    </row>
    <row r="67" spans="1:25" s="19" customFormat="1" x14ac:dyDescent="0.25">
      <c r="A67" s="19" t="str">
        <f>'nastavit-mesic'!A51</f>
        <v>adwords - Obrat</v>
      </c>
      <c r="B67" s="19">
        <f>'nastavit-mesic'!Z51</f>
        <v>557429.64835633046</v>
      </c>
      <c r="C67" s="21">
        <f>'nastavit-mesic'!Y51</f>
        <v>397402.55483142432</v>
      </c>
      <c r="D67" s="21">
        <f>'nastavit-mesic'!X51</f>
        <v>750916.44958165602</v>
      </c>
      <c r="E67" s="21">
        <f>'nastavit-mesic'!W51</f>
        <v>960209.39956918347</v>
      </c>
      <c r="F67" s="21">
        <f>'nastavit-mesic'!V51</f>
        <v>927028.84495646087</v>
      </c>
      <c r="G67" s="21">
        <f>'nastavit-mesic'!U51</f>
        <v>610384.79570101888</v>
      </c>
      <c r="H67" s="21">
        <f>'nastavit-mesic'!T51</f>
        <v>721664.10491953394</v>
      </c>
      <c r="I67" s="21">
        <f>'nastavit-mesic'!S51</f>
        <v>548143.77391280246</v>
      </c>
      <c r="J67" s="21">
        <f>'nastavit-mesic'!Q51</f>
        <v>1261764.0066216362</v>
      </c>
      <c r="K67" s="21">
        <f>'nastavit-mesic'!P51</f>
        <v>988486.72275993647</v>
      </c>
      <c r="L67" s="21">
        <f>'nastavit-mesic'!O51</f>
        <v>759108.89882208372</v>
      </c>
      <c r="M67" s="37">
        <f>'nastavit-mesic'!N51</f>
        <v>644394.23813437903</v>
      </c>
      <c r="N67" s="21">
        <f>'nastavit-mesic'!M51</f>
        <v>928076.21182083641</v>
      </c>
      <c r="O67" s="21">
        <f>'nastavit-mesic'!L51</f>
        <v>819341.43769855134</v>
      </c>
      <c r="P67" s="21">
        <f>'nastavit-mesic'!K51</f>
        <v>1193421.9029055447</v>
      </c>
      <c r="Q67" s="21">
        <f>'nastavit-mesic'!J51</f>
        <v>973140.786565291</v>
      </c>
      <c r="R67" s="21">
        <f>'nastavit-mesic'!I51</f>
        <v>620556.9135161743</v>
      </c>
      <c r="S67" s="21">
        <f>'nastavit-mesic'!H51</f>
        <v>489186.96673180716</v>
      </c>
      <c r="T67" s="21">
        <f>'nastavit-mesic'!G51</f>
        <v>700749.44504731591</v>
      </c>
      <c r="U67" s="21">
        <f>'nastavit-mesic'!F51</f>
        <v>710540.41660737817</v>
      </c>
      <c r="V67" s="21">
        <f>'nastavit-mesic'!E51</f>
        <v>701384.98679531273</v>
      </c>
      <c r="W67" s="21">
        <f>'nastavit-mesic'!D51</f>
        <v>1350828.154882709</v>
      </c>
      <c r="X67" s="21">
        <f>'nastavit-mesic'!C51</f>
        <v>1102837.2112663176</v>
      </c>
      <c r="Y67" s="41">
        <f>'nastavit-mesic'!B51</f>
        <v>604963.86071667739</v>
      </c>
    </row>
    <row r="68" spans="1:25" s="5" customFormat="1" x14ac:dyDescent="0.25">
      <c r="A68" s="5" t="str">
        <f>'nastavit-mesic'!A52</f>
        <v>adwords - KP</v>
      </c>
      <c r="B68" s="5">
        <f>'nastavit-mesic'!Z52</f>
        <v>8.802574860547618E-3</v>
      </c>
      <c r="C68" s="22">
        <f>'nastavit-mesic'!Y52</f>
        <v>1.1452302773581389E-2</v>
      </c>
      <c r="D68" s="22">
        <f>'nastavit-mesic'!X52</f>
        <v>1.2643262962800217E-2</v>
      </c>
      <c r="E68" s="22">
        <f>'nastavit-mesic'!W52</f>
        <v>2.6543769850077965E-2</v>
      </c>
      <c r="F68" s="22">
        <f>'nastavit-mesic'!V52</f>
        <v>1.247995949225442E-2</v>
      </c>
      <c r="G68" s="22">
        <f>'nastavit-mesic'!U52</f>
        <v>1.3148363658504272E-2</v>
      </c>
      <c r="H68" s="22">
        <f>'nastavit-mesic'!T52</f>
        <v>1.0957590769727927E-2</v>
      </c>
      <c r="I68" s="22">
        <f>'nastavit-mesic'!S52</f>
        <v>1.7608261064377337E-2</v>
      </c>
      <c r="J68" s="22">
        <f>'nastavit-mesic'!Q52</f>
        <v>1.8407920318682554E-2</v>
      </c>
      <c r="K68" s="22">
        <f>'nastavit-mesic'!P52</f>
        <v>1.0215371044325107E-2</v>
      </c>
      <c r="L68" s="22">
        <f>'nastavit-mesic'!O52</f>
        <v>1.4436688017066482E-2</v>
      </c>
      <c r="M68" s="38">
        <f>'nastavit-mesic'!N52</f>
        <v>1.5992865753634219E-2</v>
      </c>
      <c r="N68" s="22">
        <f>'nastavit-mesic'!M52</f>
        <v>2.3324159462926666E-2</v>
      </c>
      <c r="O68" s="22">
        <f>'nastavit-mesic'!L52</f>
        <v>1.9909637169435914E-2</v>
      </c>
      <c r="P68" s="22">
        <f>'nastavit-mesic'!K52</f>
        <v>1.8848063518465241E-2</v>
      </c>
      <c r="Q68" s="22">
        <f>'nastavit-mesic'!J52</f>
        <v>1.3762030861166698E-2</v>
      </c>
      <c r="R68" s="22">
        <f>'nastavit-mesic'!I52</f>
        <v>1.3198208306896202E-2</v>
      </c>
      <c r="S68" s="22">
        <f>'nastavit-mesic'!H52</f>
        <v>1.6694054618046978E-2</v>
      </c>
      <c r="T68" s="22">
        <f>'nastavit-mesic'!G52</f>
        <v>1.0101121200100831E-2</v>
      </c>
      <c r="U68" s="22">
        <f>'nastavit-mesic'!F52</f>
        <v>1.3623162583245647E-2</v>
      </c>
      <c r="V68" s="22">
        <f>'nastavit-mesic'!E52</f>
        <v>1.4726825441652051E-2</v>
      </c>
      <c r="W68" s="22">
        <f>'nastavit-mesic'!D52</f>
        <v>2.1844442974377171E-2</v>
      </c>
      <c r="X68" s="22">
        <f>'nastavit-mesic'!C52</f>
        <v>1.4476566941458109E-2</v>
      </c>
      <c r="Y68" s="42">
        <f>'nastavit-mesic'!B52</f>
        <v>1.7177025045563774E-2</v>
      </c>
    </row>
    <row r="69" spans="1:25" x14ac:dyDescent="0.25">
      <c r="A69" s="18" t="s">
        <v>163</v>
      </c>
      <c r="B69" s="19">
        <f t="shared" ref="B69:Y69" si="4">B67/B66</f>
        <v>1591.45203577245</v>
      </c>
      <c r="C69" s="19">
        <f t="shared" si="4"/>
        <v>971.46521724751835</v>
      </c>
      <c r="D69" s="19">
        <f t="shared" si="4"/>
        <v>1103.3819797524329</v>
      </c>
      <c r="E69" s="19">
        <f t="shared" si="4"/>
        <v>973.25505390241597</v>
      </c>
      <c r="F69" s="19">
        <f t="shared" si="4"/>
        <v>1595.7171913056627</v>
      </c>
      <c r="G69" s="19">
        <f t="shared" si="4"/>
        <v>909.00795986642754</v>
      </c>
      <c r="H69" s="19">
        <f t="shared" si="4"/>
        <v>1519.967458331578</v>
      </c>
      <c r="I69" s="19">
        <f t="shared" si="4"/>
        <v>1132.9613425802506</v>
      </c>
      <c r="J69" s="19">
        <f t="shared" si="4"/>
        <v>2360.4393614028977</v>
      </c>
      <c r="K69" s="19">
        <f t="shared" si="4"/>
        <v>2433.1997556913334</v>
      </c>
      <c r="L69" s="19">
        <f t="shared" si="4"/>
        <v>1301.1630695371339</v>
      </c>
      <c r="M69" s="73">
        <f t="shared" si="4"/>
        <v>1174.8348124441154</v>
      </c>
      <c r="N69" s="19">
        <f t="shared" si="4"/>
        <v>1190.1489209944261</v>
      </c>
      <c r="O69" s="19">
        <f t="shared" si="4"/>
        <v>897.77611019259348</v>
      </c>
      <c r="P69" s="19">
        <f t="shared" si="4"/>
        <v>1796.2290725139844</v>
      </c>
      <c r="Q69" s="19">
        <f t="shared" si="4"/>
        <v>1693.806190183031</v>
      </c>
      <c r="R69" s="19">
        <f t="shared" si="4"/>
        <v>1513.671018785489</v>
      </c>
      <c r="S69" s="19">
        <f t="shared" si="4"/>
        <v>837.05203632463281</v>
      </c>
      <c r="T69" s="19">
        <f t="shared" si="4"/>
        <v>1129.2986557869581</v>
      </c>
      <c r="U69" s="19">
        <f t="shared" si="4"/>
        <v>1151.8315219854512</v>
      </c>
      <c r="V69" s="19">
        <f t="shared" si="4"/>
        <v>1189.9832450797273</v>
      </c>
      <c r="W69" s="19">
        <f t="shared" si="4"/>
        <v>1708.0322334897935</v>
      </c>
      <c r="X69" s="19">
        <f t="shared" si="4"/>
        <v>2211.1987993549133</v>
      </c>
      <c r="Y69" s="75">
        <f t="shared" si="4"/>
        <v>1169.0782397734313</v>
      </c>
    </row>
    <row r="70" spans="1:25" s="3" customFormat="1" x14ac:dyDescent="0.25">
      <c r="A70" s="3" t="str">
        <f>'nastavit-mesic'!A53</f>
        <v>sklik - Návštěvy</v>
      </c>
      <c r="B70" s="3">
        <f>'nastavit-mesic'!Z53</f>
        <v>25027.731471353334</v>
      </c>
      <c r="C70" s="20">
        <f>'nastavit-mesic'!Y53</f>
        <v>24272.918776310536</v>
      </c>
      <c r="D70" s="20">
        <f>'nastavit-mesic'!X53</f>
        <v>31143.423883990981</v>
      </c>
      <c r="E70" s="20">
        <f>'nastavit-mesic'!W53</f>
        <v>46992.628451148346</v>
      </c>
      <c r="F70" s="20">
        <f>'nastavit-mesic'!V53</f>
        <v>47408.578135266973</v>
      </c>
      <c r="G70" s="20">
        <f>'nastavit-mesic'!U53</f>
        <v>54171.657443051372</v>
      </c>
      <c r="H70" s="20">
        <f>'nastavit-mesic'!T53</f>
        <v>43911.974336573388</v>
      </c>
      <c r="I70" s="20">
        <f>'nastavit-mesic'!S53</f>
        <v>17952.992744133662</v>
      </c>
      <c r="J70" s="20">
        <f>'nastavit-mesic'!Q53</f>
        <v>9067.9129393555886</v>
      </c>
      <c r="K70" s="20">
        <f>'nastavit-mesic'!P53</f>
        <v>11786.324941694213</v>
      </c>
      <c r="L70" s="20">
        <f>'nastavit-mesic'!O53</f>
        <v>12993.669970498549</v>
      </c>
      <c r="M70" s="36">
        <f>'nastavit-mesic'!N53</f>
        <v>11334.601551919091</v>
      </c>
      <c r="N70" s="20">
        <f>'nastavit-mesic'!M53</f>
        <v>21246.438072320976</v>
      </c>
      <c r="O70" s="20">
        <f>'nastavit-mesic'!L53</f>
        <v>21446.898155790765</v>
      </c>
      <c r="P70" s="20">
        <f>'nastavit-mesic'!K53</f>
        <v>23202.148756661139</v>
      </c>
      <c r="Q70" s="20">
        <f>'nastavit-mesic'!J53</f>
        <v>17378.747432307053</v>
      </c>
      <c r="R70" s="20">
        <f>'nastavit-mesic'!I53</f>
        <v>13931.478983522928</v>
      </c>
      <c r="S70" s="20">
        <f>'nastavit-mesic'!H53</f>
        <v>10575.007799917938</v>
      </c>
      <c r="T70" s="20">
        <f>'nastavit-mesic'!G53</f>
        <v>12637.443884212747</v>
      </c>
      <c r="U70" s="20">
        <f>'nastavit-mesic'!F53</f>
        <v>36279.505374028769</v>
      </c>
      <c r="V70" s="20">
        <f>'nastavit-mesic'!E53</f>
        <v>33369.740527604175</v>
      </c>
      <c r="W70" s="20">
        <f>'nastavit-mesic'!D53</f>
        <v>32717.301339672482</v>
      </c>
      <c r="X70" s="20">
        <f>'nastavit-mesic'!C53</f>
        <v>31923.053488076232</v>
      </c>
      <c r="Y70" s="40">
        <f>'nastavit-mesic'!B53</f>
        <v>31036.258420509988</v>
      </c>
    </row>
    <row r="71" spans="1:25" s="3" customFormat="1" x14ac:dyDescent="0.25">
      <c r="A71" s="3" t="str">
        <f>'nastavit-mesic'!A54</f>
        <v>sklik - Transakce</v>
      </c>
      <c r="B71" s="3">
        <f>'nastavit-mesic'!Z54</f>
        <v>469.07471484059874</v>
      </c>
      <c r="C71" s="20">
        <f>'nastavit-mesic'!Y54</f>
        <v>380.07541842376969</v>
      </c>
      <c r="D71" s="20">
        <f>'nastavit-mesic'!X54</f>
        <v>590.97590565308133</v>
      </c>
      <c r="E71" s="20">
        <f>'nastavit-mesic'!W54</f>
        <v>677.43553007865989</v>
      </c>
      <c r="F71" s="20">
        <f>'nastavit-mesic'!V54</f>
        <v>459.28324482331487</v>
      </c>
      <c r="G71" s="20">
        <f>'nastavit-mesic'!U54</f>
        <v>352.38631569661027</v>
      </c>
      <c r="H71" s="20">
        <f>'nastavit-mesic'!T54</f>
        <v>397.31345605488065</v>
      </c>
      <c r="I71" s="20">
        <f>'nastavit-mesic'!S54</f>
        <v>209.86107882343592</v>
      </c>
      <c r="J71" s="20">
        <f>'nastavit-mesic'!Q54</f>
        <v>145.04817160244571</v>
      </c>
      <c r="K71" s="20">
        <f>'nastavit-mesic'!P54</f>
        <v>151.9727382450248</v>
      </c>
      <c r="L71" s="20">
        <f>'nastavit-mesic'!O54</f>
        <v>223.54175177840895</v>
      </c>
      <c r="M71" s="36">
        <f>'nastavit-mesic'!N54</f>
        <v>164.78269246166295</v>
      </c>
      <c r="N71" s="20">
        <f>'nastavit-mesic'!M54</f>
        <v>425.33375989063944</v>
      </c>
      <c r="O71" s="20">
        <f>'nastavit-mesic'!L54</f>
        <v>558.25445107840767</v>
      </c>
      <c r="P71" s="20">
        <f>'nastavit-mesic'!K54</f>
        <v>527.81632584428803</v>
      </c>
      <c r="Q71" s="20">
        <f>'nastavit-mesic'!J54</f>
        <v>373.05919164106064</v>
      </c>
      <c r="R71" s="20">
        <f>'nastavit-mesic'!I54</f>
        <v>181.6716823668288</v>
      </c>
      <c r="S71" s="20">
        <f>'nastavit-mesic'!H54</f>
        <v>171.6817433091249</v>
      </c>
      <c r="T71" s="20">
        <f>'nastavit-mesic'!G54</f>
        <v>137.86891904378047</v>
      </c>
      <c r="U71" s="20">
        <f>'nastavit-mesic'!F54</f>
        <v>197.07034046595646</v>
      </c>
      <c r="V71" s="20">
        <f>'nastavit-mesic'!E54</f>
        <v>303.17469462093817</v>
      </c>
      <c r="W71" s="20">
        <f>'nastavit-mesic'!D54</f>
        <v>241.62494593984113</v>
      </c>
      <c r="X71" s="20">
        <f>'nastavit-mesic'!C54</f>
        <v>285.85635581913954</v>
      </c>
      <c r="Y71" s="40">
        <f>'nastavit-mesic'!B54</f>
        <v>325.16780739700255</v>
      </c>
    </row>
    <row r="72" spans="1:25" s="19" customFormat="1" x14ac:dyDescent="0.25">
      <c r="A72" s="19" t="str">
        <f>'nastavit-mesic'!A55</f>
        <v>sklik - Obrat</v>
      </c>
      <c r="B72" s="19">
        <f>'nastavit-mesic'!Z55</f>
        <v>430119.51000535727</v>
      </c>
      <c r="C72" s="21">
        <f>'nastavit-mesic'!Y55</f>
        <v>354106.10758532258</v>
      </c>
      <c r="D72" s="21">
        <f>'nastavit-mesic'!X55</f>
        <v>787996.02274827613</v>
      </c>
      <c r="E72" s="21">
        <f>'nastavit-mesic'!W55</f>
        <v>925360.88202492974</v>
      </c>
      <c r="F72" s="21">
        <f>'nastavit-mesic'!V55</f>
        <v>669001.9076268624</v>
      </c>
      <c r="G72" s="21">
        <f>'nastavit-mesic'!U55</f>
        <v>546088.71620188362</v>
      </c>
      <c r="H72" s="21">
        <f>'nastavit-mesic'!T55</f>
        <v>487045.47852397105</v>
      </c>
      <c r="I72" s="21">
        <f>'nastavit-mesic'!S55</f>
        <v>345608.49237162486</v>
      </c>
      <c r="J72" s="21">
        <f>'nastavit-mesic'!Q55</f>
        <v>383240.74242425594</v>
      </c>
      <c r="K72" s="21">
        <f>'nastavit-mesic'!P55</f>
        <v>416840.08878900856</v>
      </c>
      <c r="L72" s="21">
        <f>'nastavit-mesic'!O55</f>
        <v>297465.81743281276</v>
      </c>
      <c r="M72" s="37">
        <f>'nastavit-mesic'!N55</f>
        <v>205084.86259392038</v>
      </c>
      <c r="N72" s="21">
        <f>'nastavit-mesic'!M55</f>
        <v>341590.96101475932</v>
      </c>
      <c r="O72" s="21">
        <f>'nastavit-mesic'!L55</f>
        <v>551539.14714779856</v>
      </c>
      <c r="P72" s="21">
        <f>'nastavit-mesic'!K55</f>
        <v>370121.15230578947</v>
      </c>
      <c r="Q72" s="21">
        <f>'nastavit-mesic'!J55</f>
        <v>439017.41165727377</v>
      </c>
      <c r="R72" s="21">
        <f>'nastavit-mesic'!I55</f>
        <v>159726.98344693365</v>
      </c>
      <c r="S72" s="21">
        <f>'nastavit-mesic'!H55</f>
        <v>299674.67431449681</v>
      </c>
      <c r="T72" s="21">
        <f>'nastavit-mesic'!G55</f>
        <v>243092.8264555372</v>
      </c>
      <c r="U72" s="21">
        <f>'nastavit-mesic'!F55</f>
        <v>324644.71972963912</v>
      </c>
      <c r="V72" s="21">
        <f>'nastavit-mesic'!E55</f>
        <v>386219.21635367454</v>
      </c>
      <c r="W72" s="21">
        <f>'nastavit-mesic'!D55</f>
        <v>672639.74559438019</v>
      </c>
      <c r="X72" s="21">
        <f>'nastavit-mesic'!C55</f>
        <v>492004.70981899247</v>
      </c>
      <c r="Y72" s="41">
        <f>'nastavit-mesic'!B55</f>
        <v>424715.26572370017</v>
      </c>
    </row>
    <row r="73" spans="1:25" s="5" customFormat="1" x14ac:dyDescent="0.25">
      <c r="A73" s="5" t="str">
        <f>'nastavit-mesic'!A56</f>
        <v>sklik - KP</v>
      </c>
      <c r="B73" s="5">
        <f>'nastavit-mesic'!Z56</f>
        <v>1.8742198643832354E-2</v>
      </c>
      <c r="C73" s="22">
        <f>'nastavit-mesic'!Y56</f>
        <v>1.5658414298106955E-2</v>
      </c>
      <c r="D73" s="22">
        <f>'nastavit-mesic'!X56</f>
        <v>1.8975945222158685E-2</v>
      </c>
      <c r="E73" s="22">
        <f>'nastavit-mesic'!W56</f>
        <v>1.4415782909076786E-2</v>
      </c>
      <c r="F73" s="22">
        <f>'nastavit-mesic'!V56</f>
        <v>9.68776670569786E-3</v>
      </c>
      <c r="G73" s="22">
        <f>'nastavit-mesic'!U56</f>
        <v>6.5049941672370047E-3</v>
      </c>
      <c r="H73" s="22">
        <f>'nastavit-mesic'!T56</f>
        <v>9.0479524561929425E-3</v>
      </c>
      <c r="I73" s="22">
        <f>'nastavit-mesic'!S56</f>
        <v>1.1689476056409054E-2</v>
      </c>
      <c r="J73" s="22">
        <f>'nastavit-mesic'!Q56</f>
        <v>1.5995761381091683E-2</v>
      </c>
      <c r="K73" s="22">
        <f>'nastavit-mesic'!P56</f>
        <v>1.2893988499113926E-2</v>
      </c>
      <c r="L73" s="22">
        <f>'nastavit-mesic'!O56</f>
        <v>1.720389638077224E-2</v>
      </c>
      <c r="M73" s="38">
        <f>'nastavit-mesic'!N56</f>
        <v>1.4538022506292967E-2</v>
      </c>
      <c r="N73" s="22">
        <f>'nastavit-mesic'!M56</f>
        <v>2.0019061945481937E-2</v>
      </c>
      <c r="O73" s="22">
        <f>'nastavit-mesic'!L56</f>
        <v>2.6029612628513197E-2</v>
      </c>
      <c r="P73" s="22">
        <f>'nastavit-mesic'!K56</f>
        <v>2.274859675196059E-2</v>
      </c>
      <c r="Q73" s="22">
        <f>'nastavit-mesic'!J56</f>
        <v>2.146640274819487E-2</v>
      </c>
      <c r="R73" s="22">
        <f>'nastavit-mesic'!I56</f>
        <v>1.3040372998566483E-2</v>
      </c>
      <c r="S73" s="22">
        <f>'nastavit-mesic'!H56</f>
        <v>1.6234668243975871E-2</v>
      </c>
      <c r="T73" s="22">
        <f>'nastavit-mesic'!G56</f>
        <v>1.0909557368322909E-2</v>
      </c>
      <c r="U73" s="22">
        <f>'nastavit-mesic'!F56</f>
        <v>5.4320018543315704E-3</v>
      </c>
      <c r="V73" s="22">
        <f>'nastavit-mesic'!E56</f>
        <v>9.0853177108208404E-3</v>
      </c>
      <c r="W73" s="22">
        <f>'nastavit-mesic'!D56</f>
        <v>7.3852346020620756E-3</v>
      </c>
      <c r="X73" s="22">
        <f>'nastavit-mesic'!C56</f>
        <v>8.9545430209522856E-3</v>
      </c>
      <c r="Y73" s="42">
        <f>'nastavit-mesic'!B56</f>
        <v>1.0477029898105204E-2</v>
      </c>
    </row>
    <row r="74" spans="1:25" x14ac:dyDescent="0.25">
      <c r="A74" s="18" t="s">
        <v>162</v>
      </c>
      <c r="B74" s="19">
        <f t="shared" ref="B74:Y74" si="5">B72/B71</f>
        <v>916.95309168715426</v>
      </c>
      <c r="C74" s="19">
        <f t="shared" si="5"/>
        <v>931.67326909447138</v>
      </c>
      <c r="D74" s="19">
        <f t="shared" si="5"/>
        <v>1333.3809639455096</v>
      </c>
      <c r="E74" s="19">
        <f t="shared" si="5"/>
        <v>1365.9763046639762</v>
      </c>
      <c r="F74" s="19">
        <f t="shared" si="5"/>
        <v>1456.6216276498956</v>
      </c>
      <c r="G74" s="19">
        <f t="shared" si="5"/>
        <v>1549.6876350670864</v>
      </c>
      <c r="H74" s="19">
        <f t="shared" si="5"/>
        <v>1225.8469253976029</v>
      </c>
      <c r="I74" s="19">
        <f t="shared" si="5"/>
        <v>1646.8441614292776</v>
      </c>
      <c r="J74" s="19">
        <f t="shared" si="5"/>
        <v>2642.1618293449346</v>
      </c>
      <c r="K74" s="19">
        <f t="shared" si="5"/>
        <v>2742.860947316351</v>
      </c>
      <c r="L74" s="19">
        <f t="shared" si="5"/>
        <v>1330.6946691895068</v>
      </c>
      <c r="M74" s="73">
        <f t="shared" si="5"/>
        <v>1244.5776891382802</v>
      </c>
      <c r="N74" s="19">
        <f t="shared" si="5"/>
        <v>803.11273928170704</v>
      </c>
      <c r="O74" s="19">
        <f t="shared" si="5"/>
        <v>987.97089048258044</v>
      </c>
      <c r="P74" s="19">
        <f t="shared" si="5"/>
        <v>701.23096649909144</v>
      </c>
      <c r="Q74" s="19">
        <f t="shared" si="5"/>
        <v>1176.8036319546709</v>
      </c>
      <c r="R74" s="19">
        <f t="shared" si="5"/>
        <v>879.20682720609841</v>
      </c>
      <c r="S74" s="19">
        <f t="shared" si="5"/>
        <v>1745.5244135942385</v>
      </c>
      <c r="T74" s="19">
        <f t="shared" si="5"/>
        <v>1763.2170335530284</v>
      </c>
      <c r="U74" s="19">
        <f t="shared" si="5"/>
        <v>1647.3545382935029</v>
      </c>
      <c r="V74" s="19">
        <f t="shared" si="5"/>
        <v>1273.9164026752551</v>
      </c>
      <c r="W74" s="19">
        <f t="shared" si="5"/>
        <v>2783.8174695830103</v>
      </c>
      <c r="X74" s="19">
        <f t="shared" si="5"/>
        <v>1721.1606452098004</v>
      </c>
      <c r="Y74" s="75">
        <f t="shared" si="5"/>
        <v>1306.1418014396443</v>
      </c>
    </row>
    <row r="75" spans="1:25" s="3" customFormat="1" x14ac:dyDescent="0.25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</row>
    <row r="76" spans="1:25" s="51" customFormat="1" x14ac:dyDescent="0.25">
      <c r="A76" s="51" t="str">
        <f>'nastavit-mesic'!A96</f>
        <v>AdWords-náklady</v>
      </c>
      <c r="B76" s="51">
        <f>'nastavit-mesic'!Z96</f>
        <v>1920.1216254344401</v>
      </c>
      <c r="C76" s="65">
        <f>'nastavit-mesic'!Y96</f>
        <v>3057.8264440412604</v>
      </c>
      <c r="D76" s="65">
        <f>'nastavit-mesic'!X96</f>
        <v>4539.3324714243345</v>
      </c>
      <c r="E76" s="65">
        <f>'nastavit-mesic'!W96</f>
        <v>5917.5748993010766</v>
      </c>
      <c r="F76" s="65">
        <f>'nastavit-mesic'!V96</f>
        <v>4061.001870042006</v>
      </c>
      <c r="G76" s="65">
        <f>'nastavit-mesic'!U96</f>
        <v>5781.6322869756214</v>
      </c>
      <c r="H76" s="65">
        <f>'nastavit-mesic'!T96</f>
        <v>3622.4423822536719</v>
      </c>
      <c r="I76" s="65">
        <f>'nastavit-mesic'!S96</f>
        <v>3213.7130997182335</v>
      </c>
      <c r="J76" s="65">
        <f>'nastavit-mesic'!Q96</f>
        <v>4233.2322766951565</v>
      </c>
      <c r="K76" s="65">
        <f>'nastavit-mesic'!P96</f>
        <v>4358.6522987551516</v>
      </c>
      <c r="L76" s="65">
        <f>'nastavit-mesic'!O96</f>
        <v>2377.2084709426472</v>
      </c>
      <c r="M76" s="66">
        <f>'nastavit-mesic'!N96</f>
        <v>3746.9504508873638</v>
      </c>
      <c r="N76" s="65">
        <f>'nastavit-mesic'!M96</f>
        <v>4357.5618067866471</v>
      </c>
      <c r="O76" s="65">
        <f>'nastavit-mesic'!L96</f>
        <v>6153.5551628038438</v>
      </c>
      <c r="P76" s="65">
        <f>'nastavit-mesic'!K96</f>
        <v>5664.0362333614266</v>
      </c>
      <c r="Q76" s="65">
        <f>'nastavit-mesic'!J96</f>
        <v>6723.4225809974432</v>
      </c>
      <c r="R76" s="65">
        <f>'nastavit-mesic'!I96</f>
        <v>3696.0682690289959</v>
      </c>
      <c r="S76" s="65">
        <f>'nastavit-mesic'!H96</f>
        <v>12017.152875983407</v>
      </c>
      <c r="T76" s="65">
        <f>'nastavit-mesic'!G96</f>
        <v>8332.2973719576203</v>
      </c>
      <c r="U76" s="65">
        <f>'nastavit-mesic'!F96</f>
        <v>3598.3576297965965</v>
      </c>
      <c r="V76" s="65">
        <f>'nastavit-mesic'!E96</f>
        <v>6222.2402808097395</v>
      </c>
      <c r="W76" s="65">
        <f>'nastavit-mesic'!D96</f>
        <v>5739.4588879010771</v>
      </c>
      <c r="X76" s="65">
        <f>'nastavit-mesic'!C96</f>
        <v>4050.9434204709296</v>
      </c>
      <c r="Y76" s="67">
        <f>'nastavit-mesic'!B96</f>
        <v>4639.8031465263339</v>
      </c>
    </row>
    <row r="77" spans="1:25" s="3" customFormat="1" x14ac:dyDescent="0.25">
      <c r="A77" s="3" t="str">
        <f>'nastavit-mesic'!A97</f>
        <v>AdWords-kliknutí</v>
      </c>
      <c r="B77" s="3">
        <f>'nastavit-mesic'!Z97</f>
        <v>35668.225499555556</v>
      </c>
      <c r="C77" s="20">
        <f>'nastavit-mesic'!Y97</f>
        <v>42738.538314968318</v>
      </c>
      <c r="D77" s="20">
        <f>'nastavit-mesic'!X97</f>
        <v>38192.280660030337</v>
      </c>
      <c r="E77" s="20">
        <f>'nastavit-mesic'!W97</f>
        <v>55979.423053705454</v>
      </c>
      <c r="F77" s="20">
        <f>'nastavit-mesic'!V97</f>
        <v>35601.494871679221</v>
      </c>
      <c r="G77" s="20">
        <f>'nastavit-mesic'!U97</f>
        <v>47777.312004312145</v>
      </c>
      <c r="H77" s="20">
        <f>'nastavit-mesic'!T97</f>
        <v>31307.02682612645</v>
      </c>
      <c r="I77" s="20">
        <f>'nastavit-mesic'!S97</f>
        <v>18458.522982278297</v>
      </c>
      <c r="J77" s="20">
        <f>'nastavit-mesic'!Q97</f>
        <v>22240.723961449443</v>
      </c>
      <c r="K77" s="20">
        <f>'nastavit-mesic'!P97</f>
        <v>22050.726975936785</v>
      </c>
      <c r="L77" s="20">
        <f>'nastavit-mesic'!O97</f>
        <v>31561.295558547299</v>
      </c>
      <c r="M77" s="36">
        <f>'nastavit-mesic'!N97</f>
        <v>22640.449272100788</v>
      </c>
      <c r="N77" s="20">
        <f>'nastavit-mesic'!M97</f>
        <v>26016.231131571763</v>
      </c>
      <c r="O77" s="20">
        <f>'nastavit-mesic'!L97</f>
        <v>30079.737192847959</v>
      </c>
      <c r="P77" s="20">
        <f>'nastavit-mesic'!K97</f>
        <v>39125.872441622407</v>
      </c>
      <c r="Q77" s="20">
        <f>'nastavit-mesic'!J97</f>
        <v>28800.339140004406</v>
      </c>
      <c r="R77" s="20">
        <f>'nastavit-mesic'!I97</f>
        <v>28335.63398678165</v>
      </c>
      <c r="S77" s="20">
        <f>'nastavit-mesic'!H97</f>
        <v>54776.336391792393</v>
      </c>
      <c r="T77" s="20">
        <f>'nastavit-mesic'!G97</f>
        <v>33158.469566317137</v>
      </c>
      <c r="U77" s="20">
        <f>'nastavit-mesic'!F97</f>
        <v>48062.299371094974</v>
      </c>
      <c r="V77" s="20">
        <f>'nastavit-mesic'!E97</f>
        <v>51538.511834713754</v>
      </c>
      <c r="W77" s="20">
        <f>'nastavit-mesic'!D97</f>
        <v>32257.113170289889</v>
      </c>
      <c r="X77" s="20">
        <f>'nastavit-mesic'!C97</f>
        <v>43782.55878208371</v>
      </c>
      <c r="Y77" s="40">
        <f>'nastavit-mesic'!B97</f>
        <v>29433.504627633185</v>
      </c>
    </row>
    <row r="78" spans="1:25" s="3" customFormat="1" x14ac:dyDescent="0.25">
      <c r="A78" s="3" t="str">
        <f>'nastavit-mesic'!A98</f>
        <v>AdWords-konverze</v>
      </c>
      <c r="B78" s="3">
        <f>'nastavit-mesic'!Z98</f>
        <v>479.58270123823246</v>
      </c>
      <c r="C78" s="20">
        <f>'nastavit-mesic'!Y98</f>
        <v>650.24349249155034</v>
      </c>
      <c r="D78" s="20">
        <f>'nastavit-mesic'!X98</f>
        <v>1077.1782795460422</v>
      </c>
      <c r="E78" s="20">
        <f>'nastavit-mesic'!W98</f>
        <v>1194.5005855558043</v>
      </c>
      <c r="F78" s="20">
        <f>'nastavit-mesic'!V98</f>
        <v>851.83315545786525</v>
      </c>
      <c r="G78" s="20">
        <f>'nastavit-mesic'!U98</f>
        <v>1122.0690333978901</v>
      </c>
      <c r="H78" s="20">
        <f>'nastavit-mesic'!T98</f>
        <v>746.42189659315636</v>
      </c>
      <c r="I78" s="20">
        <f>'nastavit-mesic'!S98</f>
        <v>458.45145337169981</v>
      </c>
      <c r="J78" s="20">
        <f>'nastavit-mesic'!Q98</f>
        <v>734.80405533097394</v>
      </c>
      <c r="K78" s="20">
        <f>'nastavit-mesic'!P98</f>
        <v>606.80695194114321</v>
      </c>
      <c r="L78" s="20">
        <f>'nastavit-mesic'!O98</f>
        <v>803.16309506798279</v>
      </c>
      <c r="M78" s="36">
        <f>'nastavit-mesic'!N98</f>
        <v>493.55492697958454</v>
      </c>
      <c r="N78" s="20">
        <f>'nastavit-mesic'!M98</f>
        <v>1039.7210928023655</v>
      </c>
      <c r="O78" s="20">
        <f>'nastavit-mesic'!L98</f>
        <v>1300.6316207562029</v>
      </c>
      <c r="P78" s="20">
        <f>'nastavit-mesic'!K98</f>
        <v>1055.613187000745</v>
      </c>
      <c r="Q78" s="20">
        <f>'nastavit-mesic'!J98</f>
        <v>841.97889464622563</v>
      </c>
      <c r="R78" s="20">
        <f>'nastavit-mesic'!I98</f>
        <v>621.35787324882506</v>
      </c>
      <c r="S78" s="20">
        <f>'nastavit-mesic'!H98</f>
        <v>611.8310336999856</v>
      </c>
      <c r="T78" s="20">
        <f>'nastavit-mesic'!G98</f>
        <v>1000.8436828935943</v>
      </c>
      <c r="U78" s="20">
        <f>'nastavit-mesic'!F98</f>
        <v>694.85538126802749</v>
      </c>
      <c r="V78" s="20">
        <f>'nastavit-mesic'!E98</f>
        <v>608.68515056012973</v>
      </c>
      <c r="W78" s="20">
        <f>'nastavit-mesic'!D98</f>
        <v>860.49458875794869</v>
      </c>
      <c r="X78" s="20">
        <f>'nastavit-mesic'!C98</f>
        <v>807.9585374032506</v>
      </c>
      <c r="Y78" s="40">
        <f>'nastavit-mesic'!B98</f>
        <v>1010.9282953478471</v>
      </c>
    </row>
    <row r="79" spans="1:25" x14ac:dyDescent="0.25">
      <c r="A79" s="3" t="str">
        <f>'nastavit-mesic'!A99</f>
        <v>Sklik-náklady</v>
      </c>
      <c r="B79" s="19">
        <f>'nastavit-mesic'!Z99</f>
        <v>47858.699810589205</v>
      </c>
      <c r="C79" s="21">
        <f>'nastavit-mesic'!Y99</f>
        <v>59227.320877042243</v>
      </c>
      <c r="D79" s="21">
        <f>'nastavit-mesic'!X99</f>
        <v>92018.825900767377</v>
      </c>
      <c r="E79" s="21">
        <f>'nastavit-mesic'!W99</f>
        <v>99139.397390815575</v>
      </c>
      <c r="F79" s="21">
        <f>'nastavit-mesic'!V99</f>
        <v>110147.99446267997</v>
      </c>
      <c r="G79" s="21">
        <f>'nastavit-mesic'!U99</f>
        <v>126259.82491757564</v>
      </c>
      <c r="H79" s="21">
        <f>'nastavit-mesic'!T99</f>
        <v>81146.987157061914</v>
      </c>
      <c r="I79" s="21">
        <f>'nastavit-mesic'!S99</f>
        <v>55877.303250389021</v>
      </c>
      <c r="J79" s="21">
        <f>'nastavit-mesic'!Q99</f>
        <v>44258.674924425293</v>
      </c>
      <c r="K79" s="21">
        <f>'nastavit-mesic'!P99</f>
        <v>43031.800686026945</v>
      </c>
      <c r="L79" s="21">
        <f>'nastavit-mesic'!O99</f>
        <v>23363.639940236342</v>
      </c>
      <c r="M79" s="37">
        <f>'nastavit-mesic'!N99</f>
        <v>40264.298302412251</v>
      </c>
      <c r="N79" s="21">
        <f>'nastavit-mesic'!M99</f>
        <v>46032.405184149662</v>
      </c>
      <c r="O79" s="21">
        <f>'nastavit-mesic'!L99</f>
        <v>41323.760503770791</v>
      </c>
      <c r="P79" s="21">
        <f>'nastavit-mesic'!K99</f>
        <v>31323.367041161746</v>
      </c>
      <c r="Q79" s="21">
        <f>'nastavit-mesic'!J99</f>
        <v>28540.417932607608</v>
      </c>
      <c r="R79" s="21">
        <f>'nastavit-mesic'!I99</f>
        <v>40419.671770477886</v>
      </c>
      <c r="S79" s="21">
        <f>'nastavit-mesic'!H99</f>
        <v>38839.025830795385</v>
      </c>
      <c r="T79" s="21">
        <f>'nastavit-mesic'!G99</f>
        <v>37041.857679285218</v>
      </c>
      <c r="U79" s="21">
        <f>'nastavit-mesic'!F99</f>
        <v>100567.95859124746</v>
      </c>
      <c r="V79" s="21">
        <f>'nastavit-mesic'!E99</f>
        <v>64842.551109275686</v>
      </c>
      <c r="W79" s="21">
        <f>'nastavit-mesic'!D99</f>
        <v>54248.934658948019</v>
      </c>
      <c r="X79" s="21">
        <f>'nastavit-mesic'!C99</f>
        <v>77400.909247622229</v>
      </c>
      <c r="Y79" s="41">
        <f>'nastavit-mesic'!B99</f>
        <v>90737.717622962882</v>
      </c>
    </row>
    <row r="80" spans="1:25" s="3" customFormat="1" x14ac:dyDescent="0.25">
      <c r="A80" s="3" t="str">
        <f>'nastavit-mesic'!A100</f>
        <v>Sklik-kliknutí</v>
      </c>
      <c r="B80" s="3">
        <f>'nastavit-mesic'!Z100</f>
        <v>29671.508562377065</v>
      </c>
      <c r="C80" s="20">
        <f>'nastavit-mesic'!Y100</f>
        <v>24668.36970609723</v>
      </c>
      <c r="D80" s="20">
        <f>'nastavit-mesic'!X100</f>
        <v>35293.7609917722</v>
      </c>
      <c r="E80" s="20">
        <f>'nastavit-mesic'!W100</f>
        <v>54348.264976581013</v>
      </c>
      <c r="F80" s="20">
        <f>'nastavit-mesic'!V100</f>
        <v>38568.994720690222</v>
      </c>
      <c r="G80" s="20">
        <f>'nastavit-mesic'!U100</f>
        <v>43491.429958515109</v>
      </c>
      <c r="H80" s="20">
        <f>'nastavit-mesic'!T100</f>
        <v>28954.321549740762</v>
      </c>
      <c r="I80" s="20">
        <f>'nastavit-mesic'!S100</f>
        <v>15212.218844692803</v>
      </c>
      <c r="J80" s="20">
        <f>'nastavit-mesic'!Q100</f>
        <v>17989.926047106168</v>
      </c>
      <c r="K80" s="20">
        <f>'nastavit-mesic'!P100</f>
        <v>10472.597550484617</v>
      </c>
      <c r="L80" s="20">
        <f>'nastavit-mesic'!O100</f>
        <v>16933.004034357484</v>
      </c>
      <c r="M80" s="36">
        <f>'nastavit-mesic'!N100</f>
        <v>20524.032458821373</v>
      </c>
      <c r="N80" s="20">
        <f>'nastavit-mesic'!M100</f>
        <v>20885.960809147608</v>
      </c>
      <c r="O80" s="20">
        <f>'nastavit-mesic'!L100</f>
        <v>19850.934065041507</v>
      </c>
      <c r="P80" s="20">
        <f>'nastavit-mesic'!K100</f>
        <v>19140.256581923983</v>
      </c>
      <c r="Q80" s="20">
        <f>'nastavit-mesic'!J100</f>
        <v>20659.342032725261</v>
      </c>
      <c r="R80" s="20">
        <f>'nastavit-mesic'!I100</f>
        <v>15099.364198216643</v>
      </c>
      <c r="S80" s="20">
        <f>'nastavit-mesic'!H100</f>
        <v>10512.334069091497</v>
      </c>
      <c r="T80" s="20">
        <f>'nastavit-mesic'!G100</f>
        <v>16405.069429557585</v>
      </c>
      <c r="U80" s="20">
        <f>'nastavit-mesic'!F100</f>
        <v>20098.32670868234</v>
      </c>
      <c r="V80" s="20">
        <f>'nastavit-mesic'!E100</f>
        <v>29417.506390895745</v>
      </c>
      <c r="W80" s="20">
        <f>'nastavit-mesic'!D100</f>
        <v>22258.274817823021</v>
      </c>
      <c r="X80" s="20">
        <f>'nastavit-mesic'!C100</f>
        <v>19692.824277717948</v>
      </c>
      <c r="Y80" s="40">
        <f>'nastavit-mesic'!B100</f>
        <v>38909.442164522217</v>
      </c>
    </row>
    <row r="81" spans="1:25" s="3" customFormat="1" x14ac:dyDescent="0.25">
      <c r="A81" s="3" t="str">
        <f>'nastavit-mesic'!A101</f>
        <v>Sklik-konverze</v>
      </c>
      <c r="B81" s="3">
        <f>'nastavit-mesic'!Z101</f>
        <v>508.09600207262127</v>
      </c>
      <c r="C81" s="20">
        <f>'nastavit-mesic'!Y101</f>
        <v>532.36962325459376</v>
      </c>
      <c r="D81" s="20">
        <f>'nastavit-mesic'!X101</f>
        <v>645.54497928750652</v>
      </c>
      <c r="E81" s="20">
        <f>'nastavit-mesic'!W101</f>
        <v>1139.2215485799968</v>
      </c>
      <c r="F81" s="20">
        <f>'nastavit-mesic'!V101</f>
        <v>548.74527600217664</v>
      </c>
      <c r="G81" s="20">
        <f>'nastavit-mesic'!U101</f>
        <v>521.47132944546115</v>
      </c>
      <c r="H81" s="20">
        <f>'nastavit-mesic'!T101</f>
        <v>469.06638464581897</v>
      </c>
      <c r="I81" s="20">
        <f>'nastavit-mesic'!S101</f>
        <v>386.89225947438223</v>
      </c>
      <c r="J81" s="20">
        <f>'nastavit-mesic'!Q101</f>
        <v>406.93580879352692</v>
      </c>
      <c r="K81" s="20">
        <f>'nastavit-mesic'!P101</f>
        <v>441.82817458108923</v>
      </c>
      <c r="L81" s="20">
        <f>'nastavit-mesic'!O101</f>
        <v>270.41215551376848</v>
      </c>
      <c r="M81" s="36">
        <f>'nastavit-mesic'!N101</f>
        <v>248.49481442103172</v>
      </c>
      <c r="N81" s="20">
        <f>'nastavit-mesic'!M101</f>
        <v>410.75813870592845</v>
      </c>
      <c r="O81" s="20">
        <f>'nastavit-mesic'!L101</f>
        <v>831.60534197513186</v>
      </c>
      <c r="P81" s="20">
        <f>'nastavit-mesic'!K101</f>
        <v>472.88403260268717</v>
      </c>
      <c r="Q81" s="20">
        <f>'nastavit-mesic'!J101</f>
        <v>168.41980088400479</v>
      </c>
      <c r="R81" s="20">
        <f>'nastavit-mesic'!I101</f>
        <v>372.33287745145435</v>
      </c>
      <c r="S81" s="20">
        <f>'nastavit-mesic'!H101</f>
        <v>214.53178014875488</v>
      </c>
      <c r="T81" s="20">
        <f>'nastavit-mesic'!G101</f>
        <v>202.52072365610326</v>
      </c>
      <c r="U81" s="20">
        <f>'nastavit-mesic'!F101</f>
        <v>291.88252214855919</v>
      </c>
      <c r="V81" s="20">
        <f>'nastavit-mesic'!E101</f>
        <v>471.50187875349138</v>
      </c>
      <c r="W81" s="20">
        <f>'nastavit-mesic'!D101</f>
        <v>384.47148388438183</v>
      </c>
      <c r="X81" s="20">
        <f>'nastavit-mesic'!C101</f>
        <v>612.60530196191667</v>
      </c>
      <c r="Y81" s="40">
        <f>'nastavit-mesic'!B101</f>
        <v>409.57308446336828</v>
      </c>
    </row>
    <row r="82" spans="1:25" s="19" customFormat="1" x14ac:dyDescent="0.25">
      <c r="A82" s="19" t="s">
        <v>134</v>
      </c>
      <c r="B82" s="19">
        <f>B76*$G$38/B78</f>
        <v>78.072815385749507</v>
      </c>
      <c r="C82" s="19">
        <f>C76*$G$38/C78</f>
        <v>91.700441984168592</v>
      </c>
      <c r="D82" s="19">
        <f t="shared" ref="D82:Y82" si="6">D76*$G$38/D78</f>
        <v>82.174868240082276</v>
      </c>
      <c r="E82" s="19">
        <f t="shared" si="6"/>
        <v>96.603310146288848</v>
      </c>
      <c r="F82" s="19">
        <f t="shared" si="6"/>
        <v>92.963670125347818</v>
      </c>
      <c r="G82" s="19">
        <f t="shared" si="6"/>
        <v>100.47673203725775</v>
      </c>
      <c r="H82" s="19">
        <f t="shared" si="6"/>
        <v>94.634986964280131</v>
      </c>
      <c r="I82" s="19">
        <f t="shared" si="6"/>
        <v>136.69365640269123</v>
      </c>
      <c r="J82" s="19">
        <f t="shared" si="6"/>
        <v>112.34019300339038</v>
      </c>
      <c r="K82" s="19">
        <f t="shared" si="6"/>
        <v>140.06714912186661</v>
      </c>
      <c r="L82" s="19">
        <f t="shared" si="6"/>
        <v>57.716253981338511</v>
      </c>
      <c r="M82" s="73">
        <f t="shared" si="6"/>
        <v>148.03931598747042</v>
      </c>
      <c r="N82" s="19">
        <f t="shared" si="6"/>
        <v>81.726201209704158</v>
      </c>
      <c r="O82" s="19">
        <f t="shared" si="6"/>
        <v>92.258502530415811</v>
      </c>
      <c r="P82" s="19">
        <f t="shared" si="6"/>
        <v>104.62990412649124</v>
      </c>
      <c r="Q82" s="19">
        <f t="shared" si="6"/>
        <v>155.7126207831341</v>
      </c>
      <c r="R82" s="19">
        <f t="shared" si="6"/>
        <v>115.99326949737288</v>
      </c>
      <c r="S82" s="19">
        <f t="shared" si="6"/>
        <v>383.00522231532233</v>
      </c>
      <c r="T82" s="19">
        <f t="shared" si="6"/>
        <v>162.34283288217327</v>
      </c>
      <c r="U82" s="19">
        <f t="shared" si="6"/>
        <v>100.98212616988808</v>
      </c>
      <c r="V82" s="19">
        <f t="shared" si="6"/>
        <v>199.3373509508736</v>
      </c>
      <c r="W82" s="19">
        <f t="shared" si="6"/>
        <v>130.06409311140152</v>
      </c>
      <c r="X82" s="19">
        <f t="shared" si="6"/>
        <v>97.769121857496586</v>
      </c>
      <c r="Y82" s="75">
        <f t="shared" si="6"/>
        <v>89.498099690771696</v>
      </c>
    </row>
    <row r="83" spans="1:25" x14ac:dyDescent="0.25">
      <c r="A83" s="18" t="s">
        <v>135</v>
      </c>
      <c r="B83" s="5">
        <f>B76*$G$38/B67</f>
        <v>6.7169681064464984E-2</v>
      </c>
      <c r="C83" s="5">
        <f>C76*$G$38/C67</f>
        <v>0.15004336266559293</v>
      </c>
      <c r="D83" s="5">
        <f t="shared" ref="D83:Y83" si="7">D76*$G$38/D67</f>
        <v>0.11787860452662653</v>
      </c>
      <c r="E83" s="5">
        <f t="shared" si="7"/>
        <v>0.12017452712725388</v>
      </c>
      <c r="F83" s="5">
        <f t="shared" si="7"/>
        <v>8.5422947620943074E-2</v>
      </c>
      <c r="G83" s="5">
        <f t="shared" si="7"/>
        <v>0.18470615649353145</v>
      </c>
      <c r="H83" s="5">
        <f t="shared" si="7"/>
        <v>9.7881585037159019E-2</v>
      </c>
      <c r="I83" s="5">
        <f t="shared" si="7"/>
        <v>0.11432658442358692</v>
      </c>
      <c r="J83" s="5">
        <f t="shared" si="7"/>
        <v>6.5422716896622601E-2</v>
      </c>
      <c r="K83" s="5">
        <f t="shared" si="7"/>
        <v>8.5983673699142837E-2</v>
      </c>
      <c r="L83" s="5">
        <f t="shared" si="7"/>
        <v>6.1065764418401607E-2</v>
      </c>
      <c r="M83" s="74">
        <f t="shared" si="7"/>
        <v>0.11338638595503216</v>
      </c>
      <c r="N83" s="5">
        <f t="shared" si="7"/>
        <v>9.1557626572098164E-2</v>
      </c>
      <c r="O83" s="5">
        <f t="shared" si="7"/>
        <v>0.14645216286353963</v>
      </c>
      <c r="P83" s="5">
        <f t="shared" si="7"/>
        <v>9.2547913090622616E-2</v>
      </c>
      <c r="Q83" s="5">
        <f t="shared" si="7"/>
        <v>0.13472535746055053</v>
      </c>
      <c r="R83" s="5">
        <f t="shared" si="7"/>
        <v>0.11614298330460369</v>
      </c>
      <c r="S83" s="5">
        <f t="shared" si="7"/>
        <v>0.47902846358976781</v>
      </c>
      <c r="T83" s="5">
        <f t="shared" si="7"/>
        <v>0.23186575444551746</v>
      </c>
      <c r="U83" s="5">
        <f t="shared" si="7"/>
        <v>9.8752966250766017E-2</v>
      </c>
      <c r="V83" s="5">
        <f t="shared" si="7"/>
        <v>0.17299156349236069</v>
      </c>
      <c r="W83" s="5">
        <f t="shared" si="7"/>
        <v>8.2852469360759545E-2</v>
      </c>
      <c r="X83" s="5">
        <f t="shared" si="7"/>
        <v>7.1627431403479797E-2</v>
      </c>
      <c r="Y83" s="70">
        <f t="shared" si="7"/>
        <v>0.14955630779346041</v>
      </c>
    </row>
    <row r="84" spans="1:25" s="19" customFormat="1" x14ac:dyDescent="0.25">
      <c r="A84" s="19" t="s">
        <v>136</v>
      </c>
      <c r="B84" s="19">
        <f>B79/B81</f>
        <v>94.192238504858068</v>
      </c>
      <c r="C84" s="19">
        <f>C79/C81</f>
        <v>111.25225461768714</v>
      </c>
      <c r="D84" s="19">
        <f t="shared" ref="D84:Y84" si="8">D79/D81</f>
        <v>142.54440643675881</v>
      </c>
      <c r="E84" s="19">
        <f t="shared" si="8"/>
        <v>87.023808068228391</v>
      </c>
      <c r="F84" s="19">
        <f t="shared" si="8"/>
        <v>200.72700263617952</v>
      </c>
      <c r="G84" s="19">
        <f t="shared" si="8"/>
        <v>242.12227554646552</v>
      </c>
      <c r="H84" s="19">
        <f t="shared" si="8"/>
        <v>172.99680772975046</v>
      </c>
      <c r="I84" s="19">
        <f t="shared" si="8"/>
        <v>144.42600460991878</v>
      </c>
      <c r="J84" s="19">
        <f t="shared" si="8"/>
        <v>108.76082656781252</v>
      </c>
      <c r="K84" s="19">
        <f t="shared" si="8"/>
        <v>97.394876926594165</v>
      </c>
      <c r="L84" s="19">
        <f t="shared" si="8"/>
        <v>86.40010984656621</v>
      </c>
      <c r="M84" s="73">
        <f t="shared" si="8"/>
        <v>162.03275064803293</v>
      </c>
      <c r="N84" s="19">
        <f t="shared" si="8"/>
        <v>112.06693391194219</v>
      </c>
      <c r="O84" s="19">
        <f t="shared" si="8"/>
        <v>49.691552492464062</v>
      </c>
      <c r="P84" s="19">
        <f t="shared" si="8"/>
        <v>66.239003395319443</v>
      </c>
      <c r="Q84" s="19">
        <f t="shared" si="8"/>
        <v>169.45999094408236</v>
      </c>
      <c r="R84" s="19">
        <f t="shared" si="8"/>
        <v>108.55789058205825</v>
      </c>
      <c r="S84" s="19">
        <f t="shared" si="8"/>
        <v>181.04089661617812</v>
      </c>
      <c r="T84" s="19">
        <f t="shared" si="8"/>
        <v>182.90403574789374</v>
      </c>
      <c r="U84" s="19">
        <f t="shared" si="8"/>
        <v>344.54943670817494</v>
      </c>
      <c r="V84" s="19">
        <f t="shared" si="8"/>
        <v>137.5234204383232</v>
      </c>
      <c r="W84" s="19">
        <f t="shared" si="8"/>
        <v>141.10002154350087</v>
      </c>
      <c r="X84" s="19">
        <f t="shared" si="8"/>
        <v>126.34710963117644</v>
      </c>
      <c r="Y84" s="75">
        <f t="shared" si="8"/>
        <v>221.54218884243687</v>
      </c>
    </row>
    <row r="85" spans="1:25" x14ac:dyDescent="0.25">
      <c r="A85" s="18" t="s">
        <v>137</v>
      </c>
      <c r="B85" s="5">
        <f>B79/B72</f>
        <v>0.11126837703779843</v>
      </c>
      <c r="C85" s="5">
        <f>C79/C72</f>
        <v>0.16725868209649927</v>
      </c>
      <c r="D85" s="5">
        <f t="shared" ref="D85:Y85" si="9">D79/D72</f>
        <v>0.11677574917172218</v>
      </c>
      <c r="E85" s="5">
        <f t="shared" si="9"/>
        <v>0.10713592860535973</v>
      </c>
      <c r="F85" s="5">
        <f t="shared" si="9"/>
        <v>0.16464526215389405</v>
      </c>
      <c r="G85" s="5">
        <f t="shared" si="9"/>
        <v>0.23120753308313849</v>
      </c>
      <c r="H85" s="5">
        <f t="shared" si="9"/>
        <v>0.16661069804607184</v>
      </c>
      <c r="I85" s="5">
        <f t="shared" si="9"/>
        <v>0.16167803883217499</v>
      </c>
      <c r="J85" s="5">
        <f t="shared" si="9"/>
        <v>0.1154853073409141</v>
      </c>
      <c r="K85" s="5">
        <f t="shared" si="9"/>
        <v>0.10323335457259318</v>
      </c>
      <c r="L85" s="5">
        <f t="shared" si="9"/>
        <v>7.8542267954916797E-2</v>
      </c>
      <c r="M85" s="74">
        <f t="shared" si="9"/>
        <v>0.19632993772991347</v>
      </c>
      <c r="N85" s="5">
        <f t="shared" si="9"/>
        <v>0.1347588503144283</v>
      </c>
      <c r="O85" s="5">
        <f t="shared" si="9"/>
        <v>7.4924437761980045E-2</v>
      </c>
      <c r="P85" s="5">
        <f t="shared" si="9"/>
        <v>8.4630037613421166E-2</v>
      </c>
      <c r="Q85" s="5">
        <f t="shared" si="9"/>
        <v>6.5009763109095453E-2</v>
      </c>
      <c r="R85" s="5">
        <f t="shared" si="9"/>
        <v>0.25305474941187117</v>
      </c>
      <c r="S85" s="5">
        <f t="shared" si="9"/>
        <v>0.12960396443122635</v>
      </c>
      <c r="T85" s="5">
        <f t="shared" si="9"/>
        <v>0.15237741984978048</v>
      </c>
      <c r="U85" s="5">
        <f t="shared" si="9"/>
        <v>0.30977851318511956</v>
      </c>
      <c r="V85" s="5">
        <f t="shared" si="9"/>
        <v>0.16789053564309725</v>
      </c>
      <c r="W85" s="5">
        <f t="shared" si="9"/>
        <v>8.0650801583261753E-2</v>
      </c>
      <c r="X85" s="5">
        <f t="shared" si="9"/>
        <v>0.15731741526640641</v>
      </c>
      <c r="Y85" s="70">
        <f t="shared" si="9"/>
        <v>0.21364364539228167</v>
      </c>
    </row>
    <row r="86" spans="1:25" x14ac:dyDescent="0.25">
      <c r="A86" s="18" t="s">
        <v>174</v>
      </c>
      <c r="B86" s="19">
        <f>B76*$G$38/B66</f>
        <v>106.89732567222897</v>
      </c>
      <c r="C86" s="19">
        <f t="shared" ref="C86:Y86" si="10">C76*$G$38/C66</f>
        <v>145.76190790847843</v>
      </c>
      <c r="D86" s="19">
        <f t="shared" si="10"/>
        <v>130.06512803304329</v>
      </c>
      <c r="E86" s="19">
        <f t="shared" si="10"/>
        <v>116.96046587693282</v>
      </c>
      <c r="F86" s="19">
        <f t="shared" si="10"/>
        <v>136.31086605074202</v>
      </c>
      <c r="G86" s="19">
        <f t="shared" si="10"/>
        <v>167.89936648895414</v>
      </c>
      <c r="H86" s="19">
        <f t="shared" si="10"/>
        <v>148.77682402639678</v>
      </c>
      <c r="I86" s="19">
        <f t="shared" si="10"/>
        <v>129.52760058116141</v>
      </c>
      <c r="J86" s="19">
        <f t="shared" si="10"/>
        <v>154.42635609270641</v>
      </c>
      <c r="K86" s="19">
        <f t="shared" si="10"/>
        <v>209.2154538381977</v>
      </c>
      <c r="L86" s="19">
        <f t="shared" si="10"/>
        <v>79.456517474278925</v>
      </c>
      <c r="M86" s="73">
        <f t="shared" si="10"/>
        <v>133.21027347719627</v>
      </c>
      <c r="N86" s="19">
        <f t="shared" si="10"/>
        <v>108.96721047359324</v>
      </c>
      <c r="O86" s="19">
        <f t="shared" si="10"/>
        <v>131.4812531049208</v>
      </c>
      <c r="P86" s="19">
        <f t="shared" si="10"/>
        <v>166.23725209387391</v>
      </c>
      <c r="Q86" s="19">
        <f t="shared" si="10"/>
        <v>228.19864444130209</v>
      </c>
      <c r="R86" s="19">
        <f t="shared" si="10"/>
        <v>175.80226786346549</v>
      </c>
      <c r="S86" s="19">
        <f t="shared" si="10"/>
        <v>400.97175090527531</v>
      </c>
      <c r="T86" s="19">
        <f t="shared" si="10"/>
        <v>261.84568481835174</v>
      </c>
      <c r="U86" s="19">
        <f t="shared" si="10"/>
        <v>113.74677941719773</v>
      </c>
      <c r="V86" s="19">
        <f t="shared" si="10"/>
        <v>205.85706209605507</v>
      </c>
      <c r="W86" s="19">
        <f t="shared" si="10"/>
        <v>141.51468829240281</v>
      </c>
      <c r="X86" s="19">
        <f t="shared" si="10"/>
        <v>158.38249032025095</v>
      </c>
      <c r="Y86" s="75">
        <f t="shared" si="10"/>
        <v>174.84302506219217</v>
      </c>
    </row>
    <row r="87" spans="1:25" x14ac:dyDescent="0.25">
      <c r="A87" s="18" t="s">
        <v>175</v>
      </c>
      <c r="B87" s="19">
        <f>B79/B71</f>
        <v>102.02788233182123</v>
      </c>
      <c r="C87" s="19">
        <f t="shared" ref="C87:Y87" si="11">C79/C71</f>
        <v>155.83044313327841</v>
      </c>
      <c r="D87" s="19">
        <f t="shared" si="11"/>
        <v>155.70656099604997</v>
      </c>
      <c r="E87" s="19">
        <f t="shared" si="11"/>
        <v>146.34513985309286</v>
      </c>
      <c r="F87" s="19">
        <f t="shared" si="11"/>
        <v>239.82584974344891</v>
      </c>
      <c r="G87" s="19">
        <f t="shared" si="11"/>
        <v>358.299455153304</v>
      </c>
      <c r="H87" s="19">
        <f t="shared" si="11"/>
        <v>204.23921193812558</v>
      </c>
      <c r="I87" s="19">
        <f t="shared" si="11"/>
        <v>266.25853428210343</v>
      </c>
      <c r="J87" s="19">
        <f t="shared" si="11"/>
        <v>305.13087090633161</v>
      </c>
      <c r="K87" s="19">
        <f t="shared" si="11"/>
        <v>283.15473671762771</v>
      </c>
      <c r="L87" s="19">
        <f t="shared" si="11"/>
        <v>104.51577727366163</v>
      </c>
      <c r="M87" s="73">
        <f t="shared" si="11"/>
        <v>244.34786020855819</v>
      </c>
      <c r="N87" s="19">
        <f t="shared" si="11"/>
        <v>108.22654941847404</v>
      </c>
      <c r="O87" s="19">
        <f t="shared" si="11"/>
        <v>74.023163494610102</v>
      </c>
      <c r="P87" s="19">
        <f t="shared" si="11"/>
        <v>59.345203070513783</v>
      </c>
      <c r="Q87" s="19">
        <f t="shared" si="11"/>
        <v>76.503725339296309</v>
      </c>
      <c r="R87" s="19">
        <f t="shared" si="11"/>
        <v>222.48746333984553</v>
      </c>
      <c r="S87" s="19">
        <f t="shared" si="11"/>
        <v>226.2268840133049</v>
      </c>
      <c r="T87" s="19">
        <f t="shared" si="11"/>
        <v>268.67446220799428</v>
      </c>
      <c r="U87" s="19">
        <f t="shared" si="11"/>
        <v>510.31503956132042</v>
      </c>
      <c r="V87" s="19">
        <f t="shared" si="11"/>
        <v>213.87850720967614</v>
      </c>
      <c r="W87" s="19">
        <f t="shared" si="11"/>
        <v>224.51711038335716</v>
      </c>
      <c r="X87" s="19">
        <f t="shared" si="11"/>
        <v>270.76854396266617</v>
      </c>
      <c r="Y87" s="75">
        <f t="shared" si="11"/>
        <v>279.04889585880733</v>
      </c>
    </row>
    <row r="91" spans="1:25" ht="18.75" x14ac:dyDescent="0.3">
      <c r="A91" s="107" t="s">
        <v>186</v>
      </c>
    </row>
    <row r="92" spans="1:25" x14ac:dyDescent="0.25">
      <c r="A92" s="106" t="s">
        <v>187</v>
      </c>
    </row>
  </sheetData>
  <conditionalFormatting sqref="C38:C41">
    <cfRule type="iconSet" priority="7">
      <iconSet iconSet="4Arrows">
        <cfvo type="percent" val="0"/>
        <cfvo type="num" val="-0.2"/>
        <cfvo type="num" val="0"/>
        <cfvo type="num" val="0.2"/>
      </iconSet>
    </cfRule>
  </conditionalFormatting>
  <conditionalFormatting sqref="C46:C56">
    <cfRule type="iconSet" priority="6">
      <iconSet iconSet="4Arrows">
        <cfvo type="percent" val="0"/>
        <cfvo type="num" val="-0.2"/>
        <cfvo type="num" val="0"/>
        <cfvo type="num" val="0.2"/>
      </iconSet>
    </cfRule>
  </conditionalFormatting>
  <conditionalFormatting sqref="H46:H49">
    <cfRule type="iconSet" priority="5">
      <iconSet iconSet="4Arrows">
        <cfvo type="percent" val="0"/>
        <cfvo type="num" val="-0.2"/>
        <cfvo type="num" val="0"/>
        <cfvo type="num" val="0.2"/>
      </iconSet>
    </cfRule>
  </conditionalFormatting>
  <conditionalFormatting sqref="H50:H56">
    <cfRule type="iconSet" priority="4">
      <iconSet iconSet="4Arrows">
        <cfvo type="percent" val="0"/>
        <cfvo type="num" val="-0.2"/>
        <cfvo type="num" val="0"/>
        <cfvo type="num" val="0.2"/>
      </iconSet>
    </cfRule>
  </conditionalFormatting>
  <conditionalFormatting sqref="C42">
    <cfRule type="iconSet" priority="3">
      <iconSet iconSet="4Arrows">
        <cfvo type="percent" val="0"/>
        <cfvo type="num" val="-0.2"/>
        <cfvo type="num" val="0"/>
        <cfvo type="num" val="0.2"/>
      </iconSet>
    </cfRule>
  </conditionalFormatting>
  <conditionalFormatting sqref="C57">
    <cfRule type="iconSet" priority="2">
      <iconSet iconSet="4Arrows">
        <cfvo type="percent" val="0"/>
        <cfvo type="num" val="-0.2"/>
        <cfvo type="num" val="0"/>
        <cfvo type="num" val="0.2"/>
      </iconSet>
    </cfRule>
  </conditionalFormatting>
  <conditionalFormatting sqref="H57">
    <cfRule type="iconSet" priority="1">
      <iconSet iconSet="4Arrows">
        <cfvo type="percent" val="0"/>
        <cfvo type="num" val="-0.2"/>
        <cfvo type="num" val="0"/>
        <cfvo type="num" val="0.2"/>
      </iconSet>
    </cfRule>
  </conditionalFormatting>
  <hyperlinks>
    <hyperlink ref="A92" r:id="rId1"/>
  </hyperlinks>
  <pageMargins left="0.70866141732283472" right="0.70866141732283472" top="0.78740157480314965" bottom="0.78740157480314965" header="0.31496062992125984" footer="0.31496062992125984"/>
  <pageSetup paperSize="9" orientation="landscape" verticalDpi="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7:AB90"/>
  <sheetViews>
    <sheetView zoomScaleNormal="100" workbookViewId="0">
      <selection activeCell="A89" sqref="A89:A90"/>
    </sheetView>
  </sheetViews>
  <sheetFormatPr defaultRowHeight="15" x14ac:dyDescent="0.25"/>
  <cols>
    <col min="1" max="1" width="21.140625" style="18" customWidth="1"/>
    <col min="2" max="2" width="14.140625" style="18" customWidth="1"/>
    <col min="3" max="3" width="13.7109375" style="18" customWidth="1"/>
    <col min="4" max="6" width="11.28515625" style="18" bestFit="1" customWidth="1"/>
    <col min="7" max="7" width="14" style="18" customWidth="1"/>
    <col min="8" max="8" width="11.28515625" style="18" bestFit="1" customWidth="1"/>
    <col min="9" max="9" width="9.85546875" style="18" bestFit="1" customWidth="1"/>
    <col min="10" max="12" width="11.28515625" style="18" bestFit="1" customWidth="1"/>
    <col min="13" max="13" width="9.85546875" style="18" bestFit="1" customWidth="1"/>
    <col min="14" max="17" width="11.28515625" style="18" bestFit="1" customWidth="1"/>
    <col min="18" max="18" width="9.85546875" style="18" bestFit="1" customWidth="1"/>
    <col min="19" max="25" width="11.28515625" style="18" bestFit="1" customWidth="1"/>
    <col min="26" max="16384" width="9.140625" style="18"/>
  </cols>
  <sheetData>
    <row r="37" spans="1:9" x14ac:dyDescent="0.25">
      <c r="A37" s="1" t="s">
        <v>112</v>
      </c>
    </row>
    <row r="38" spans="1:9" x14ac:dyDescent="0.25">
      <c r="A38" s="52"/>
      <c r="B38" s="54" t="str">
        <f>'nastavit-mesic'!B5</f>
        <v>2013-09</v>
      </c>
      <c r="C38" s="55" t="s">
        <v>108</v>
      </c>
      <c r="D38" s="26" t="str">
        <f>'nastavit-mesic'!B6</f>
        <v>2012-09</v>
      </c>
    </row>
    <row r="39" spans="1:9" x14ac:dyDescent="0.25">
      <c r="A39" s="53" t="s">
        <v>0</v>
      </c>
      <c r="B39" s="47">
        <f>Y60</f>
        <v>15851.897031025219</v>
      </c>
      <c r="C39" s="48">
        <f>(B39-D39)/D39</f>
        <v>-0.14452591630263723</v>
      </c>
      <c r="D39" s="23">
        <f>M60</f>
        <v>18529.955884242863</v>
      </c>
    </row>
    <row r="40" spans="1:9" x14ac:dyDescent="0.25">
      <c r="A40" s="53" t="s">
        <v>1</v>
      </c>
      <c r="B40" s="47">
        <f>Y61</f>
        <v>494.45982420845883</v>
      </c>
      <c r="C40" s="48">
        <f t="shared" ref="C40:C43" si="0">(B40-D40)/D40</f>
        <v>-0.17275703643042695</v>
      </c>
      <c r="D40" s="23">
        <f>M61</f>
        <v>597.72019344214539</v>
      </c>
    </row>
    <row r="41" spans="1:9" x14ac:dyDescent="0.25">
      <c r="A41" s="53" t="s">
        <v>2</v>
      </c>
      <c r="B41" s="49">
        <f>Y62</f>
        <v>789571.62226799037</v>
      </c>
      <c r="C41" s="48">
        <f t="shared" si="0"/>
        <v>0.4271011236217126</v>
      </c>
      <c r="D41" s="24">
        <f>M62</f>
        <v>553269.56807672256</v>
      </c>
    </row>
    <row r="42" spans="1:9" x14ac:dyDescent="0.25">
      <c r="A42" s="53" t="s">
        <v>3</v>
      </c>
      <c r="B42" s="50">
        <f>B40/B39</f>
        <v>3.1192470102518684E-2</v>
      </c>
      <c r="C42" s="48">
        <f t="shared" si="0"/>
        <v>-3.3000555675251717E-2</v>
      </c>
      <c r="D42" s="25">
        <f>D40/D39</f>
        <v>3.2256967969925006E-2</v>
      </c>
    </row>
    <row r="43" spans="1:9" x14ac:dyDescent="0.25">
      <c r="A43" s="53" t="s">
        <v>156</v>
      </c>
      <c r="B43" s="49">
        <f>B41/B40</f>
        <v>1596.8367572268432</v>
      </c>
      <c r="C43" s="48">
        <f t="shared" si="0"/>
        <v>0.7251293591712612</v>
      </c>
      <c r="D43" s="24">
        <f>D41/D40</f>
        <v>925.63305397222575</v>
      </c>
    </row>
    <row r="45" spans="1:9" x14ac:dyDescent="0.25">
      <c r="A45" s="1" t="s">
        <v>183</v>
      </c>
      <c r="F45" s="1" t="s">
        <v>184</v>
      </c>
    </row>
    <row r="46" spans="1:9" x14ac:dyDescent="0.25">
      <c r="A46" s="28"/>
      <c r="B46" s="29" t="str">
        <f>'nastavit-mesic'!B5</f>
        <v>2013-09</v>
      </c>
      <c r="C46" s="33" t="s">
        <v>108</v>
      </c>
      <c r="D46" s="26" t="str">
        <f>'nastavit-mesic'!B6</f>
        <v>2012-09</v>
      </c>
      <c r="F46" s="28"/>
      <c r="G46" s="29" t="str">
        <f>'nastavit-mesic'!B5</f>
        <v>2013-09</v>
      </c>
      <c r="H46" s="33" t="s">
        <v>108</v>
      </c>
      <c r="I46" s="26" t="str">
        <f>'nastavit-mesic'!B6</f>
        <v>2012-09</v>
      </c>
    </row>
    <row r="47" spans="1:9" x14ac:dyDescent="0.25">
      <c r="A47" s="27" t="s">
        <v>0</v>
      </c>
      <c r="B47" s="30">
        <f>Y65</f>
        <v>3907.2400787456108</v>
      </c>
      <c r="C47" s="34">
        <f>(B47-D47)/D47</f>
        <v>-0.18975212889954274</v>
      </c>
      <c r="D47" s="23">
        <f>M65</f>
        <v>4822.2775006355778</v>
      </c>
      <c r="F47" s="27" t="s">
        <v>0</v>
      </c>
      <c r="G47" s="30">
        <f>Y70</f>
        <v>5627.5609732966568</v>
      </c>
      <c r="H47" s="34">
        <f>(G47-I47)/I47</f>
        <v>-0.16405322712353776</v>
      </c>
      <c r="I47" s="23">
        <f>M70</f>
        <v>6731.960880634093</v>
      </c>
    </row>
    <row r="48" spans="1:9" x14ac:dyDescent="0.25">
      <c r="A48" s="27" t="s">
        <v>1</v>
      </c>
      <c r="B48" s="30">
        <f>Y66</f>
        <v>231.76732846229692</v>
      </c>
      <c r="C48" s="34">
        <f t="shared" ref="C48:C54" si="1">(B48-D48)/D48</f>
        <v>0.13611534267816122</v>
      </c>
      <c r="D48" s="23">
        <f>M66</f>
        <v>203.99982269049593</v>
      </c>
      <c r="F48" s="27" t="s">
        <v>1</v>
      </c>
      <c r="G48" s="30">
        <f>Y71</f>
        <v>127.79455492144032</v>
      </c>
      <c r="H48" s="34">
        <f t="shared" ref="H48:H54" si="2">(G48-I48)/I48</f>
        <v>-0.21775357658791247</v>
      </c>
      <c r="I48" s="23">
        <f>M71</f>
        <v>163.3686663136306</v>
      </c>
    </row>
    <row r="49" spans="1:28" x14ac:dyDescent="0.25">
      <c r="A49" s="27" t="s">
        <v>2</v>
      </c>
      <c r="B49" s="31">
        <f>Y67</f>
        <v>621330.07790679985</v>
      </c>
      <c r="C49" s="34">
        <f t="shared" si="1"/>
        <v>0.66035754363893562</v>
      </c>
      <c r="D49" s="24">
        <f>M67</f>
        <v>374214.62641417398</v>
      </c>
      <c r="F49" s="27" t="s">
        <v>2</v>
      </c>
      <c r="G49" s="31">
        <f>Y72</f>
        <v>134558.79699381077</v>
      </c>
      <c r="H49" s="34">
        <f t="shared" si="2"/>
        <v>-0.55833892980766286</v>
      </c>
      <c r="I49" s="24">
        <f>M72</f>
        <v>304665.28764967294</v>
      </c>
    </row>
    <row r="50" spans="1:28" x14ac:dyDescent="0.25">
      <c r="A50" s="27" t="s">
        <v>3</v>
      </c>
      <c r="B50" s="32">
        <f>B48/B47</f>
        <v>5.9317401488342643E-2</v>
      </c>
      <c r="C50" s="34">
        <f t="shared" si="1"/>
        <v>0.40218244712586448</v>
      </c>
      <c r="D50" s="25">
        <f>D48/D47</f>
        <v>4.2303625758494549E-2</v>
      </c>
      <c r="F50" s="27" t="s">
        <v>3</v>
      </c>
      <c r="G50" s="32">
        <f>G48/G47</f>
        <v>2.2708693078198238E-2</v>
      </c>
      <c r="H50" s="34">
        <f t="shared" si="2"/>
        <v>-6.4238957798226512E-2</v>
      </c>
      <c r="I50" s="25">
        <f>I48/I47</f>
        <v>2.4267619674320312E-2</v>
      </c>
    </row>
    <row r="51" spans="1:28" x14ac:dyDescent="0.25">
      <c r="A51" s="27" t="s">
        <v>125</v>
      </c>
      <c r="B51" s="31">
        <f>Y80</f>
        <v>13758.382162319078</v>
      </c>
      <c r="C51" s="34">
        <f t="shared" si="1"/>
        <v>1.0771912213274759</v>
      </c>
      <c r="D51" s="24">
        <f>M80</f>
        <v>6623.5510823728946</v>
      </c>
      <c r="F51" s="27" t="s">
        <v>125</v>
      </c>
      <c r="G51" s="31">
        <f>Y81</f>
        <v>8330.0020199713872</v>
      </c>
      <c r="H51" s="34">
        <f t="shared" si="2"/>
        <v>8.171328425282226E-2</v>
      </c>
      <c r="I51" s="24">
        <f>M81</f>
        <v>7700.748563631827</v>
      </c>
    </row>
    <row r="52" spans="1:28" x14ac:dyDescent="0.25">
      <c r="A52" s="27" t="s">
        <v>142</v>
      </c>
      <c r="B52" s="31">
        <f>B51/B48</f>
        <v>59.362906124869291</v>
      </c>
      <c r="C52" s="34">
        <f t="shared" si="1"/>
        <v>0.82832776153776722</v>
      </c>
      <c r="D52" s="83">
        <f>D51/D48</f>
        <v>32.468415879076531</v>
      </c>
      <c r="F52" s="27" t="s">
        <v>142</v>
      </c>
      <c r="G52" s="31">
        <f>G51/G48</f>
        <v>65.182761699761969</v>
      </c>
      <c r="H52" s="34">
        <f t="shared" si="2"/>
        <v>0.38282931296059824</v>
      </c>
      <c r="I52" s="83">
        <f>I51/I48</f>
        <v>47.137243251090425</v>
      </c>
    </row>
    <row r="53" spans="1:28" x14ac:dyDescent="0.25">
      <c r="A53" s="27" t="s">
        <v>133</v>
      </c>
      <c r="B53" s="32">
        <f>B51/B49</f>
        <v>2.2143434949535551E-2</v>
      </c>
      <c r="C53" s="34">
        <f t="shared" si="1"/>
        <v>0.25105055190400954</v>
      </c>
      <c r="D53" s="25">
        <f>D51/D49</f>
        <v>1.7699872252032362E-2</v>
      </c>
      <c r="F53" s="27" t="s">
        <v>133</v>
      </c>
      <c r="G53" s="32">
        <f>G51/G49</f>
        <v>6.1906038148918187E-2</v>
      </c>
      <c r="H53" s="34">
        <f t="shared" si="2"/>
        <v>1.4491931873953743</v>
      </c>
      <c r="I53" s="25">
        <f>I51/I49</f>
        <v>2.527609437569641E-2</v>
      </c>
    </row>
    <row r="54" spans="1:28" x14ac:dyDescent="0.25">
      <c r="A54" s="27" t="s">
        <v>156</v>
      </c>
      <c r="B54" s="31">
        <f>B49/B48</f>
        <v>2680.8354828488073</v>
      </c>
      <c r="C54" s="34">
        <f t="shared" si="1"/>
        <v>0.46143395944726867</v>
      </c>
      <c r="D54" s="24">
        <f>D49/D48</f>
        <v>1834.3870179824823</v>
      </c>
      <c r="F54" s="27" t="s">
        <v>156</v>
      </c>
      <c r="G54" s="31">
        <f>G49/G48</f>
        <v>1052.9305968985036</v>
      </c>
      <c r="H54" s="34">
        <f t="shared" si="2"/>
        <v>-0.43539394112426649</v>
      </c>
      <c r="I54" s="24">
        <f>I49/I48</f>
        <v>1864.8942574139953</v>
      </c>
    </row>
    <row r="59" spans="1:28" x14ac:dyDescent="0.25">
      <c r="A59" s="2"/>
      <c r="B59" s="7" t="str">
        <f>'nastavit-mesic'!Z22</f>
        <v>2011-09</v>
      </c>
      <c r="C59" s="7" t="str">
        <f>'nastavit-mesic'!Y22</f>
        <v>2011-10</v>
      </c>
      <c r="D59" s="7" t="str">
        <f>'nastavit-mesic'!X22</f>
        <v>2011-11</v>
      </c>
      <c r="E59" s="7" t="str">
        <f>'nastavit-mesic'!W22</f>
        <v>2011-12</v>
      </c>
      <c r="F59" s="7" t="str">
        <f>'nastavit-mesic'!V22</f>
        <v>2012-01</v>
      </c>
      <c r="G59" s="7" t="str">
        <f>'nastavit-mesic'!U22</f>
        <v>2012-02</v>
      </c>
      <c r="H59" s="7" t="str">
        <f>'nastavit-mesic'!T22</f>
        <v>2012-03</v>
      </c>
      <c r="I59" s="7" t="str">
        <f>'nastavit-mesic'!S22</f>
        <v>2012-04</v>
      </c>
      <c r="J59" s="7" t="str">
        <f>'nastavit-mesic'!Q22</f>
        <v>2012-06</v>
      </c>
      <c r="K59" s="7" t="str">
        <f>'nastavit-mesic'!P22</f>
        <v>2012-07</v>
      </c>
      <c r="L59" s="7" t="str">
        <f>'nastavit-mesic'!O22</f>
        <v>2012-08</v>
      </c>
      <c r="M59" s="56" t="str">
        <f>'nastavit-mesic'!N22</f>
        <v>2012-09</v>
      </c>
      <c r="N59" s="7" t="str">
        <f>'nastavit-mesic'!M22</f>
        <v>2012-10</v>
      </c>
      <c r="O59" s="7" t="str">
        <f>'nastavit-mesic'!L22</f>
        <v>2012-11</v>
      </c>
      <c r="P59" s="7" t="str">
        <f>'nastavit-mesic'!K22</f>
        <v>2012-12</v>
      </c>
      <c r="Q59" s="7" t="str">
        <f>'nastavit-mesic'!J22</f>
        <v>2013-01</v>
      </c>
      <c r="R59" s="7" t="str">
        <f>'nastavit-mesic'!I22</f>
        <v>2013-02</v>
      </c>
      <c r="S59" s="7" t="str">
        <f>'nastavit-mesic'!H22</f>
        <v>2013-03</v>
      </c>
      <c r="T59" s="7" t="str">
        <f>'nastavit-mesic'!G22</f>
        <v>2013-04</v>
      </c>
      <c r="U59" s="7" t="str">
        <f>'nastavit-mesic'!F22</f>
        <v>2013-05</v>
      </c>
      <c r="V59" s="7" t="str">
        <f>'nastavit-mesic'!E22</f>
        <v>2013-06</v>
      </c>
      <c r="W59" s="7" t="str">
        <f>'nastavit-mesic'!D22</f>
        <v>2013-07</v>
      </c>
      <c r="X59" s="7" t="str">
        <f>'nastavit-mesic'!C22</f>
        <v>2013-08</v>
      </c>
      <c r="Y59" s="60" t="str">
        <f>'nastavit-mesic'!B22</f>
        <v>2013-09</v>
      </c>
      <c r="Z59" s="7"/>
      <c r="AA59" s="7"/>
      <c r="AB59" s="7"/>
    </row>
    <row r="60" spans="1:28" s="3" customFormat="1" x14ac:dyDescent="0.25">
      <c r="A60" s="3" t="str">
        <f>'nastavit-mesic'!A68</f>
        <v>zbožáky - Návštěvy</v>
      </c>
      <c r="B60" s="3">
        <f>'nastavit-mesic'!Z68</f>
        <v>18469.279107052105</v>
      </c>
      <c r="C60" s="20">
        <f>'nastavit-mesic'!Y68</f>
        <v>16641.503933446529</v>
      </c>
      <c r="D60" s="20">
        <f>'nastavit-mesic'!X68</f>
        <v>17249.729564909587</v>
      </c>
      <c r="E60" s="20">
        <f>'nastavit-mesic'!W68</f>
        <v>19040.951486825408</v>
      </c>
      <c r="F60" s="20">
        <f>'nastavit-mesic'!V68</f>
        <v>26585.640287686871</v>
      </c>
      <c r="G60" s="20">
        <f>'nastavit-mesic'!U68</f>
        <v>31773.054384188843</v>
      </c>
      <c r="H60" s="20">
        <f>'nastavit-mesic'!T68</f>
        <v>18561.841081023733</v>
      </c>
      <c r="I60" s="20">
        <f>'nastavit-mesic'!S68</f>
        <v>16529.388648686043</v>
      </c>
      <c r="J60" s="20">
        <f>'nastavit-mesic'!Q68</f>
        <v>14224.007957417516</v>
      </c>
      <c r="K60" s="20">
        <f>'nastavit-mesic'!P68</f>
        <v>16627.622477876856</v>
      </c>
      <c r="L60" s="20">
        <f>'nastavit-mesic'!O68</f>
        <v>20336.664228849833</v>
      </c>
      <c r="M60" s="57">
        <f>'nastavit-mesic'!N68</f>
        <v>18529.955884242863</v>
      </c>
      <c r="N60" s="20">
        <f>'nastavit-mesic'!M68</f>
        <v>14250.218624242685</v>
      </c>
      <c r="O60" s="20">
        <f>'nastavit-mesic'!L68</f>
        <v>18646.267228530989</v>
      </c>
      <c r="P60" s="20">
        <f>'nastavit-mesic'!K68</f>
        <v>19063.318681048717</v>
      </c>
      <c r="Q60" s="20">
        <f>'nastavit-mesic'!J68</f>
        <v>17663.252605268623</v>
      </c>
      <c r="R60" s="20">
        <f>'nastavit-mesic'!I68</f>
        <v>14725.060112407918</v>
      </c>
      <c r="S60" s="20">
        <f>'nastavit-mesic'!H68</f>
        <v>13693.765987108885</v>
      </c>
      <c r="T60" s="20">
        <f>'nastavit-mesic'!G68</f>
        <v>15665.443992043609</v>
      </c>
      <c r="U60" s="20">
        <f>'nastavit-mesic'!F68</f>
        <v>14179.966533306146</v>
      </c>
      <c r="V60" s="20">
        <f>'nastavit-mesic'!E68</f>
        <v>17325.871676251863</v>
      </c>
      <c r="W60" s="20">
        <f>'nastavit-mesic'!D68</f>
        <v>11647.188384996616</v>
      </c>
      <c r="X60" s="20">
        <f>'nastavit-mesic'!C68</f>
        <v>11537.591788827542</v>
      </c>
      <c r="Y60" s="61">
        <f>'nastavit-mesic'!B68</f>
        <v>15851.897031025219</v>
      </c>
    </row>
    <row r="61" spans="1:28" s="3" customFormat="1" x14ac:dyDescent="0.25">
      <c r="A61" s="3" t="str">
        <f>'nastavit-mesic'!A69</f>
        <v>zbožáky - Transakce</v>
      </c>
      <c r="B61" s="3">
        <f>'nastavit-mesic'!Z69</f>
        <v>559.57579010769336</v>
      </c>
      <c r="C61" s="20">
        <f>'nastavit-mesic'!Y69</f>
        <v>539.90572567625486</v>
      </c>
      <c r="D61" s="20">
        <f>'nastavit-mesic'!X69</f>
        <v>732.81898480831103</v>
      </c>
      <c r="E61" s="20">
        <f>'nastavit-mesic'!W69</f>
        <v>1145.5698212043503</v>
      </c>
      <c r="F61" s="20">
        <f>'nastavit-mesic'!V69</f>
        <v>905.22055339857104</v>
      </c>
      <c r="G61" s="20">
        <f>'nastavit-mesic'!U69</f>
        <v>539.83515662063746</v>
      </c>
      <c r="H61" s="20">
        <f>'nastavit-mesic'!T69</f>
        <v>430.33597422797953</v>
      </c>
      <c r="I61" s="20">
        <f>'nastavit-mesic'!S69</f>
        <v>456.29226252443198</v>
      </c>
      <c r="J61" s="20">
        <f>'nastavit-mesic'!Q69</f>
        <v>687.97436161497615</v>
      </c>
      <c r="K61" s="20">
        <f>'nastavit-mesic'!P69</f>
        <v>484.47812833761782</v>
      </c>
      <c r="L61" s="20">
        <f>'nastavit-mesic'!O69</f>
        <v>678.74342612090209</v>
      </c>
      <c r="M61" s="57">
        <f>'nastavit-mesic'!N69</f>
        <v>597.72019344214539</v>
      </c>
      <c r="N61" s="20">
        <f>'nastavit-mesic'!M69</f>
        <v>341.9248097775793</v>
      </c>
      <c r="O61" s="20">
        <f>'nastavit-mesic'!L69</f>
        <v>583.81935393140975</v>
      </c>
      <c r="P61" s="20">
        <f>'nastavit-mesic'!K69</f>
        <v>901.45294876915784</v>
      </c>
      <c r="Q61" s="20">
        <f>'nastavit-mesic'!J69</f>
        <v>465.26234997823394</v>
      </c>
      <c r="R61" s="20">
        <f>'nastavit-mesic'!I69</f>
        <v>499.74448447830491</v>
      </c>
      <c r="S61" s="20">
        <f>'nastavit-mesic'!H69</f>
        <v>439.40460618430558</v>
      </c>
      <c r="T61" s="20">
        <f>'nastavit-mesic'!G69</f>
        <v>404.84236337654539</v>
      </c>
      <c r="U61" s="20">
        <f>'nastavit-mesic'!F69</f>
        <v>477.05330633728909</v>
      </c>
      <c r="V61" s="20">
        <f>'nastavit-mesic'!E69</f>
        <v>644.75563066435973</v>
      </c>
      <c r="W61" s="20">
        <f>'nastavit-mesic'!D69</f>
        <v>981.76448431027973</v>
      </c>
      <c r="X61" s="20">
        <f>'nastavit-mesic'!C69</f>
        <v>694.6661847223121</v>
      </c>
      <c r="Y61" s="61">
        <f>'nastavit-mesic'!B69</f>
        <v>494.45982420845883</v>
      </c>
    </row>
    <row r="62" spans="1:28" s="19" customFormat="1" x14ac:dyDescent="0.25">
      <c r="A62" s="19" t="str">
        <f>'nastavit-mesic'!A70</f>
        <v>zbožáky - Obrat</v>
      </c>
      <c r="B62" s="19">
        <f>'nastavit-mesic'!Z70</f>
        <v>888372.10467142146</v>
      </c>
      <c r="C62" s="21">
        <f>'nastavit-mesic'!Y70</f>
        <v>637314.1782860253</v>
      </c>
      <c r="D62" s="21">
        <f>'nastavit-mesic'!X70</f>
        <v>1257691.4462198319</v>
      </c>
      <c r="E62" s="21">
        <f>'nastavit-mesic'!W70</f>
        <v>952360.74049642251</v>
      </c>
      <c r="F62" s="21">
        <f>'nastavit-mesic'!V70</f>
        <v>989167.46147216379</v>
      </c>
      <c r="G62" s="21">
        <f>'nastavit-mesic'!U70</f>
        <v>1228994.7035048837</v>
      </c>
      <c r="H62" s="21">
        <f>'nastavit-mesic'!T70</f>
        <v>1171353.0226008878</v>
      </c>
      <c r="I62" s="21">
        <f>'nastavit-mesic'!S70</f>
        <v>1182778.3662365887</v>
      </c>
      <c r="J62" s="21">
        <f>'nastavit-mesic'!Q70</f>
        <v>1295872.2239105501</v>
      </c>
      <c r="K62" s="21">
        <f>'nastavit-mesic'!P70</f>
        <v>986126.04394217918</v>
      </c>
      <c r="L62" s="21">
        <f>'nastavit-mesic'!O70</f>
        <v>880622.41913194163</v>
      </c>
      <c r="M62" s="58">
        <f>'nastavit-mesic'!N70</f>
        <v>553269.56807672256</v>
      </c>
      <c r="N62" s="21">
        <f>'nastavit-mesic'!M70</f>
        <v>505123.71742225689</v>
      </c>
      <c r="O62" s="21">
        <f>'nastavit-mesic'!L70</f>
        <v>895701.90022679069</v>
      </c>
      <c r="P62" s="21">
        <f>'nastavit-mesic'!K70</f>
        <v>950837.9546564942</v>
      </c>
      <c r="Q62" s="21">
        <f>'nastavit-mesic'!J70</f>
        <v>1235363.6241924132</v>
      </c>
      <c r="R62" s="21">
        <f>'nastavit-mesic'!I70</f>
        <v>768342.31407965801</v>
      </c>
      <c r="S62" s="21">
        <f>'nastavit-mesic'!H70</f>
        <v>646511.61105718336</v>
      </c>
      <c r="T62" s="21">
        <f>'nastavit-mesic'!G70</f>
        <v>1042691.3198619959</v>
      </c>
      <c r="U62" s="21">
        <f>'nastavit-mesic'!F70</f>
        <v>775564.9728326099</v>
      </c>
      <c r="V62" s="21">
        <f>'nastavit-mesic'!E70</f>
        <v>840056.81063856999</v>
      </c>
      <c r="W62" s="21">
        <f>'nastavit-mesic'!D70</f>
        <v>1349593.5470665162</v>
      </c>
      <c r="X62" s="21">
        <f>'nastavit-mesic'!C70</f>
        <v>1547191.4295611673</v>
      </c>
      <c r="Y62" s="62">
        <f>'nastavit-mesic'!B70</f>
        <v>789571.62226799037</v>
      </c>
    </row>
    <row r="63" spans="1:28" s="5" customFormat="1" x14ac:dyDescent="0.25">
      <c r="A63" s="5" t="str">
        <f>'nastavit-mesic'!A71</f>
        <v>zbožáky - KP</v>
      </c>
      <c r="B63" s="5">
        <f>'nastavit-mesic'!Z71</f>
        <v>3.0297651947553877E-2</v>
      </c>
      <c r="C63" s="22">
        <f>'nastavit-mesic'!Y71</f>
        <v>3.244332530494063E-2</v>
      </c>
      <c r="D63" s="22">
        <f>'nastavit-mesic'!X71</f>
        <v>4.2482926010565088E-2</v>
      </c>
      <c r="E63" s="22">
        <f>'nastavit-mesic'!W71</f>
        <v>6.0163475653881034E-2</v>
      </c>
      <c r="F63" s="22">
        <f>'nastavit-mesic'!V71</f>
        <v>3.4049228967331799E-2</v>
      </c>
      <c r="G63" s="22">
        <f>'nastavit-mesic'!U71</f>
        <v>1.6990345029254551E-2</v>
      </c>
      <c r="H63" s="22">
        <f>'nastavit-mesic'!T71</f>
        <v>2.3183905753181105E-2</v>
      </c>
      <c r="I63" s="22">
        <f>'nastavit-mesic'!S71</f>
        <v>2.7604908579646932E-2</v>
      </c>
      <c r="J63" s="22">
        <f>'nastavit-mesic'!Q71</f>
        <v>4.8367124348817042E-2</v>
      </c>
      <c r="K63" s="22">
        <f>'nastavit-mesic'!P71</f>
        <v>2.9136945404083996E-2</v>
      </c>
      <c r="L63" s="22">
        <f>'nastavit-mesic'!O71</f>
        <v>3.3375356866935366E-2</v>
      </c>
      <c r="M63" s="59">
        <f>'nastavit-mesic'!N71</f>
        <v>3.2256967969925006E-2</v>
      </c>
      <c r="N63" s="22">
        <f>'nastavit-mesic'!M71</f>
        <v>2.399435537051282E-2</v>
      </c>
      <c r="O63" s="22">
        <f>'nastavit-mesic'!L71</f>
        <v>3.1310253509511936E-2</v>
      </c>
      <c r="P63" s="22">
        <f>'nastavit-mesic'!K71</f>
        <v>4.7287304159968374E-2</v>
      </c>
      <c r="Q63" s="22">
        <f>'nastavit-mesic'!J71</f>
        <v>2.6340695022357023E-2</v>
      </c>
      <c r="R63" s="22">
        <f>'nastavit-mesic'!I71</f>
        <v>3.3938366340331635E-2</v>
      </c>
      <c r="S63" s="22">
        <f>'nastavit-mesic'!H71</f>
        <v>3.2087930128056427E-2</v>
      </c>
      <c r="T63" s="22">
        <f>'nastavit-mesic'!G71</f>
        <v>2.5843018785944565E-2</v>
      </c>
      <c r="U63" s="22">
        <f>'nastavit-mesic'!F71</f>
        <v>3.3642766731273886E-2</v>
      </c>
      <c r="V63" s="22">
        <f>'nastavit-mesic'!E71</f>
        <v>3.72134598888961E-2</v>
      </c>
      <c r="W63" s="22">
        <f>'nastavit-mesic'!D71</f>
        <v>8.4291972608165636E-2</v>
      </c>
      <c r="X63" s="22">
        <f>'nastavit-mesic'!C71</f>
        <v>6.0208941123657538E-2</v>
      </c>
      <c r="Y63" s="63">
        <f>'nastavit-mesic'!B71</f>
        <v>3.1192470102518684E-2</v>
      </c>
    </row>
    <row r="64" spans="1:28" x14ac:dyDescent="0.25">
      <c r="A64" s="18" t="s">
        <v>167</v>
      </c>
      <c r="B64" s="19">
        <f t="shared" ref="B64:Y64" si="3">B62/B61</f>
        <v>1587.5813792809897</v>
      </c>
      <c r="C64" s="19">
        <f t="shared" si="3"/>
        <v>1180.4175210176966</v>
      </c>
      <c r="D64" s="19">
        <f t="shared" si="3"/>
        <v>1716.2375324498664</v>
      </c>
      <c r="E64" s="19">
        <f t="shared" si="3"/>
        <v>831.34237902251562</v>
      </c>
      <c r="F64" s="19">
        <f t="shared" si="3"/>
        <v>1092.7364140798852</v>
      </c>
      <c r="G64" s="19">
        <f t="shared" si="3"/>
        <v>2276.6110884633335</v>
      </c>
      <c r="H64" s="19">
        <f t="shared" si="3"/>
        <v>2721.950040784503</v>
      </c>
      <c r="I64" s="19">
        <f t="shared" si="3"/>
        <v>2592.1508282715122</v>
      </c>
      <c r="J64" s="19">
        <f t="shared" si="3"/>
        <v>1883.6054019056355</v>
      </c>
      <c r="K64" s="19">
        <f t="shared" si="3"/>
        <v>2035.4397572618147</v>
      </c>
      <c r="L64" s="19">
        <f t="shared" si="3"/>
        <v>1297.4304947081425</v>
      </c>
      <c r="M64" s="71">
        <f t="shared" si="3"/>
        <v>925.63305397222575</v>
      </c>
      <c r="N64" s="19">
        <f t="shared" si="3"/>
        <v>1477.2947238044464</v>
      </c>
      <c r="O64" s="19">
        <f t="shared" si="3"/>
        <v>1534.2107009560059</v>
      </c>
      <c r="P64" s="19">
        <f t="shared" si="3"/>
        <v>1054.7837865024087</v>
      </c>
      <c r="Q64" s="19">
        <f t="shared" si="3"/>
        <v>2655.1979205929865</v>
      </c>
      <c r="R64" s="19">
        <f t="shared" si="3"/>
        <v>1537.4703232227739</v>
      </c>
      <c r="S64" s="19">
        <f t="shared" si="3"/>
        <v>1471.3355343981261</v>
      </c>
      <c r="T64" s="19">
        <f t="shared" si="3"/>
        <v>2575.5489400010856</v>
      </c>
      <c r="U64" s="19">
        <f t="shared" si="3"/>
        <v>1625.7406929787953</v>
      </c>
      <c r="V64" s="19">
        <f t="shared" si="3"/>
        <v>1302.9072887242114</v>
      </c>
      <c r="W64" s="19">
        <f t="shared" si="3"/>
        <v>1374.6612030019073</v>
      </c>
      <c r="X64" s="19">
        <f t="shared" si="3"/>
        <v>2227.2444860399332</v>
      </c>
      <c r="Y64" s="81">
        <f t="shared" si="3"/>
        <v>1596.8367572268432</v>
      </c>
    </row>
    <row r="65" spans="1:25" s="3" customFormat="1" x14ac:dyDescent="0.25">
      <c r="A65" s="3" t="str">
        <f>'nastavit-mesic'!A72</f>
        <v>heureka - Návštěvy</v>
      </c>
      <c r="B65" s="3">
        <f>'nastavit-mesic'!Z72</f>
        <v>4787.1292997625515</v>
      </c>
      <c r="C65" s="20">
        <f>'nastavit-mesic'!Y72</f>
        <v>3122.2554007487356</v>
      </c>
      <c r="D65" s="20">
        <f>'nastavit-mesic'!X72</f>
        <v>7449.9059914848667</v>
      </c>
      <c r="E65" s="20">
        <f>'nastavit-mesic'!W72</f>
        <v>13210.92133935028</v>
      </c>
      <c r="F65" s="20">
        <f>'nastavit-mesic'!V72</f>
        <v>6026.6060809326755</v>
      </c>
      <c r="G65" s="20">
        <f>'nastavit-mesic'!U72</f>
        <v>6769.3563567609817</v>
      </c>
      <c r="H65" s="20">
        <f>'nastavit-mesic'!T72</f>
        <v>5207.0448266388321</v>
      </c>
      <c r="I65" s="20">
        <f>'nastavit-mesic'!S72</f>
        <v>7136.6560747385047</v>
      </c>
      <c r="J65" s="20">
        <f>'nastavit-mesic'!Q72</f>
        <v>7346.0617822418772</v>
      </c>
      <c r="K65" s="20">
        <f>'nastavit-mesic'!P72</f>
        <v>5816.2144358635651</v>
      </c>
      <c r="L65" s="20">
        <f>'nastavit-mesic'!O72</f>
        <v>6926.0191143577349</v>
      </c>
      <c r="M65" s="57">
        <f>'nastavit-mesic'!N72</f>
        <v>4822.2775006355778</v>
      </c>
      <c r="N65" s="20">
        <f>'nastavit-mesic'!M72</f>
        <v>5912.8958618228953</v>
      </c>
      <c r="O65" s="20">
        <f>'nastavit-mesic'!L72</f>
        <v>13615.788826122958</v>
      </c>
      <c r="P65" s="20">
        <f>'nastavit-mesic'!K72</f>
        <v>11717.173320494623</v>
      </c>
      <c r="Q65" s="20">
        <f>'nastavit-mesic'!J72</f>
        <v>7368.0076624599133</v>
      </c>
      <c r="R65" s="20">
        <f>'nastavit-mesic'!I72</f>
        <v>8325.6398453106012</v>
      </c>
      <c r="S65" s="20">
        <f>'nastavit-mesic'!H72</f>
        <v>7341.5238574006416</v>
      </c>
      <c r="T65" s="20">
        <f>'nastavit-mesic'!G72</f>
        <v>9293.0735551621165</v>
      </c>
      <c r="U65" s="20">
        <f>'nastavit-mesic'!F72</f>
        <v>10212.518164083069</v>
      </c>
      <c r="V65" s="20">
        <f>'nastavit-mesic'!E72</f>
        <v>6119.9607044286367</v>
      </c>
      <c r="W65" s="20">
        <f>'nastavit-mesic'!D72</f>
        <v>10523.392444661782</v>
      </c>
      <c r="X65" s="20">
        <f>'nastavit-mesic'!C72</f>
        <v>6043.0981780818711</v>
      </c>
      <c r="Y65" s="61">
        <f>'nastavit-mesic'!B72</f>
        <v>3907.2400787456108</v>
      </c>
    </row>
    <row r="66" spans="1:25" s="3" customFormat="1" x14ac:dyDescent="0.25">
      <c r="A66" s="3" t="str">
        <f>'nastavit-mesic'!A73</f>
        <v>heureka - Transakce</v>
      </c>
      <c r="B66" s="3">
        <f>'nastavit-mesic'!Z73</f>
        <v>168.6517653178467</v>
      </c>
      <c r="C66" s="20">
        <f>'nastavit-mesic'!Y73</f>
        <v>103.46962568078821</v>
      </c>
      <c r="D66" s="20">
        <f>'nastavit-mesic'!X73</f>
        <v>185.71565064752079</v>
      </c>
      <c r="E66" s="20">
        <f>'nastavit-mesic'!W73</f>
        <v>642.41487018546002</v>
      </c>
      <c r="F66" s="20">
        <f>'nastavit-mesic'!V73</f>
        <v>304.59545164719975</v>
      </c>
      <c r="G66" s="20">
        <f>'nastavit-mesic'!U73</f>
        <v>343.60168488073197</v>
      </c>
      <c r="H66" s="20">
        <f>'nastavit-mesic'!T73</f>
        <v>347.92582409339371</v>
      </c>
      <c r="I66" s="20">
        <f>'nastavit-mesic'!S73</f>
        <v>389.09798189461065</v>
      </c>
      <c r="J66" s="20">
        <f>'nastavit-mesic'!Q73</f>
        <v>244.50702690762307</v>
      </c>
      <c r="K66" s="20">
        <f>'nastavit-mesic'!P73</f>
        <v>392.60561832725671</v>
      </c>
      <c r="L66" s="20">
        <f>'nastavit-mesic'!O73</f>
        <v>390.74525534202866</v>
      </c>
      <c r="M66" s="57">
        <f>'nastavit-mesic'!N73</f>
        <v>203.99982269049593</v>
      </c>
      <c r="N66" s="20">
        <f>'nastavit-mesic'!M73</f>
        <v>213.55093447942357</v>
      </c>
      <c r="O66" s="20">
        <f>'nastavit-mesic'!L73</f>
        <v>560.76847708041112</v>
      </c>
      <c r="P66" s="20">
        <f>'nastavit-mesic'!K73</f>
        <v>705.75817822076147</v>
      </c>
      <c r="Q66" s="20">
        <f>'nastavit-mesic'!J73</f>
        <v>280.46726789869683</v>
      </c>
      <c r="R66" s="20">
        <f>'nastavit-mesic'!I73</f>
        <v>261.28682966883906</v>
      </c>
      <c r="S66" s="20">
        <f>'nastavit-mesic'!H73</f>
        <v>189.6293322094962</v>
      </c>
      <c r="T66" s="20">
        <f>'nastavit-mesic'!G73</f>
        <v>253.42969128542643</v>
      </c>
      <c r="U66" s="20">
        <f>'nastavit-mesic'!F73</f>
        <v>349.40716089702926</v>
      </c>
      <c r="V66" s="20">
        <f>'nastavit-mesic'!E73</f>
        <v>244.73247114917265</v>
      </c>
      <c r="W66" s="20">
        <f>'nastavit-mesic'!D73</f>
        <v>761.10629078550062</v>
      </c>
      <c r="X66" s="20">
        <f>'nastavit-mesic'!C73</f>
        <v>379.39335774687606</v>
      </c>
      <c r="Y66" s="61">
        <f>'nastavit-mesic'!B73</f>
        <v>231.76732846229692</v>
      </c>
    </row>
    <row r="67" spans="1:25" s="19" customFormat="1" x14ac:dyDescent="0.25">
      <c r="A67" s="19" t="str">
        <f>'nastavit-mesic'!A74</f>
        <v>heureka - Obrat</v>
      </c>
      <c r="B67" s="19">
        <f>'nastavit-mesic'!Z74</f>
        <v>378611.9818089403</v>
      </c>
      <c r="C67" s="21">
        <f>'nastavit-mesic'!Y74</f>
        <v>226583.84756089072</v>
      </c>
      <c r="D67" s="21">
        <f>'nastavit-mesic'!X74</f>
        <v>520242.68165861693</v>
      </c>
      <c r="E67" s="21">
        <f>'nastavit-mesic'!W74</f>
        <v>544848.47586235311</v>
      </c>
      <c r="F67" s="21">
        <f>'nastavit-mesic'!V74</f>
        <v>682902.79427187843</v>
      </c>
      <c r="G67" s="21">
        <f>'nastavit-mesic'!U74</f>
        <v>413064.62379061425</v>
      </c>
      <c r="H67" s="21">
        <f>'nastavit-mesic'!T74</f>
        <v>315504.41421442339</v>
      </c>
      <c r="I67" s="21">
        <f>'nastavit-mesic'!S74</f>
        <v>549437.05546612095</v>
      </c>
      <c r="J67" s="21">
        <f>'nastavit-mesic'!Q74</f>
        <v>820183.47975584806</v>
      </c>
      <c r="K67" s="21">
        <f>'nastavit-mesic'!P74</f>
        <v>746437.42248758592</v>
      </c>
      <c r="L67" s="21">
        <f>'nastavit-mesic'!O74</f>
        <v>665202.09282894619</v>
      </c>
      <c r="M67" s="58">
        <f>'nastavit-mesic'!N74</f>
        <v>374214.62641417398</v>
      </c>
      <c r="N67" s="21">
        <f>'nastavit-mesic'!M74</f>
        <v>196608.65295489351</v>
      </c>
      <c r="O67" s="21">
        <f>'nastavit-mesic'!L74</f>
        <v>712291.6657819656</v>
      </c>
      <c r="P67" s="21">
        <f>'nastavit-mesic'!K74</f>
        <v>614179.30784679204</v>
      </c>
      <c r="Q67" s="21">
        <f>'nastavit-mesic'!J74</f>
        <v>797101.09143695515</v>
      </c>
      <c r="R67" s="21">
        <f>'nastavit-mesic'!I74</f>
        <v>407297.56359217101</v>
      </c>
      <c r="S67" s="21">
        <f>'nastavit-mesic'!H74</f>
        <v>221121.97556267513</v>
      </c>
      <c r="T67" s="21">
        <f>'nastavit-mesic'!G74</f>
        <v>616390.40105049254</v>
      </c>
      <c r="U67" s="21">
        <f>'nastavit-mesic'!F74</f>
        <v>829202.23247252021</v>
      </c>
      <c r="V67" s="21">
        <f>'nastavit-mesic'!E74</f>
        <v>720432.19338042964</v>
      </c>
      <c r="W67" s="21">
        <f>'nastavit-mesic'!D74</f>
        <v>1895297.2316603239</v>
      </c>
      <c r="X67" s="21">
        <f>'nastavit-mesic'!C74</f>
        <v>686287.65088847582</v>
      </c>
      <c r="Y67" s="62">
        <f>'nastavit-mesic'!B74</f>
        <v>621330.07790679985</v>
      </c>
    </row>
    <row r="68" spans="1:25" s="5" customFormat="1" x14ac:dyDescent="0.25">
      <c r="A68" s="5" t="str">
        <f>'nastavit-mesic'!A75</f>
        <v>heureka - KP</v>
      </c>
      <c r="B68" s="5">
        <f>'nastavit-mesic'!Z75</f>
        <v>3.5230250690369294E-2</v>
      </c>
      <c r="C68" s="22">
        <f>'nastavit-mesic'!Y75</f>
        <v>3.3139385604385715E-2</v>
      </c>
      <c r="D68" s="22">
        <f>'nastavit-mesic'!X75</f>
        <v>2.4928589818420669E-2</v>
      </c>
      <c r="E68" s="22">
        <f>'nastavit-mesic'!W75</f>
        <v>4.8627560007639431E-2</v>
      </c>
      <c r="F68" s="22">
        <f>'nastavit-mesic'!V75</f>
        <v>5.0541788787373448E-2</v>
      </c>
      <c r="G68" s="22">
        <f>'nastavit-mesic'!U75</f>
        <v>5.07583981064249E-2</v>
      </c>
      <c r="H68" s="22">
        <f>'nastavit-mesic'!T75</f>
        <v>6.6818288621874833E-2</v>
      </c>
      <c r="I68" s="22">
        <f>'nastavit-mesic'!S75</f>
        <v>5.4521049889442466E-2</v>
      </c>
      <c r="J68" s="22">
        <f>'nastavit-mesic'!Q75</f>
        <v>3.3284096180444075E-2</v>
      </c>
      <c r="K68" s="22">
        <f>'nastavit-mesic'!P75</f>
        <v>6.7501916006809742E-2</v>
      </c>
      <c r="L68" s="22">
        <f>'nastavit-mesic'!O75</f>
        <v>5.6417005048687817E-2</v>
      </c>
      <c r="M68" s="59">
        <f>'nastavit-mesic'!N75</f>
        <v>4.2303625758494549E-2</v>
      </c>
      <c r="N68" s="22">
        <f>'nastavit-mesic'!M75</f>
        <v>3.6116133189192962E-2</v>
      </c>
      <c r="O68" s="22">
        <f>'nastavit-mesic'!L75</f>
        <v>4.1185162625652125E-2</v>
      </c>
      <c r="P68" s="22">
        <f>'nastavit-mesic'!K75</f>
        <v>6.023280179583184E-2</v>
      </c>
      <c r="Q68" s="22">
        <f>'nastavit-mesic'!J75</f>
        <v>3.8065550518857481E-2</v>
      </c>
      <c r="R68" s="22">
        <f>'nastavit-mesic'!I75</f>
        <v>3.1383393291508799E-2</v>
      </c>
      <c r="S68" s="22">
        <f>'nastavit-mesic'!H75</f>
        <v>2.5829696380859659E-2</v>
      </c>
      <c r="T68" s="22">
        <f>'nastavit-mesic'!G75</f>
        <v>2.7270815170149097E-2</v>
      </c>
      <c r="U68" s="22">
        <f>'nastavit-mesic'!F75</f>
        <v>3.4213614632860809E-2</v>
      </c>
      <c r="V68" s="22">
        <f>'nastavit-mesic'!E75</f>
        <v>3.9989222638647813E-2</v>
      </c>
      <c r="W68" s="22">
        <f>'nastavit-mesic'!D75</f>
        <v>7.2325183612399466E-2</v>
      </c>
      <c r="X68" s="22">
        <f>'nastavit-mesic'!C75</f>
        <v>6.2781266589863452E-2</v>
      </c>
      <c r="Y68" s="63">
        <f>'nastavit-mesic'!B75</f>
        <v>5.9317401488342643E-2</v>
      </c>
    </row>
    <row r="69" spans="1:25" x14ac:dyDescent="0.25">
      <c r="A69" s="18" t="s">
        <v>165</v>
      </c>
      <c r="B69" s="19">
        <f t="shared" ref="B69:Y69" si="4">B67/B66</f>
        <v>2244.9334052056652</v>
      </c>
      <c r="C69" s="19">
        <f t="shared" si="4"/>
        <v>2189.8585799461516</v>
      </c>
      <c r="D69" s="19">
        <f t="shared" si="4"/>
        <v>2801.2861589463564</v>
      </c>
      <c r="E69" s="19">
        <f t="shared" si="4"/>
        <v>848.125566746392</v>
      </c>
      <c r="F69" s="19">
        <f t="shared" si="4"/>
        <v>2241.9993160727045</v>
      </c>
      <c r="G69" s="19">
        <f t="shared" si="4"/>
        <v>1202.161229023058</v>
      </c>
      <c r="H69" s="19">
        <f t="shared" si="4"/>
        <v>906.81516681478797</v>
      </c>
      <c r="I69" s="19">
        <f t="shared" si="4"/>
        <v>1412.0789133646522</v>
      </c>
      <c r="J69" s="19">
        <f t="shared" si="4"/>
        <v>3354.4372533134629</v>
      </c>
      <c r="K69" s="19">
        <f t="shared" si="4"/>
        <v>1901.2397878254317</v>
      </c>
      <c r="L69" s="19">
        <f t="shared" si="4"/>
        <v>1702.3932696167453</v>
      </c>
      <c r="M69" s="71">
        <f t="shared" si="4"/>
        <v>1834.3870179824823</v>
      </c>
      <c r="N69" s="19">
        <f t="shared" si="4"/>
        <v>920.6639785218897</v>
      </c>
      <c r="O69" s="19">
        <f t="shared" si="4"/>
        <v>1270.2063238120049</v>
      </c>
      <c r="P69" s="19">
        <f t="shared" si="4"/>
        <v>870.24044042274841</v>
      </c>
      <c r="Q69" s="19">
        <f t="shared" si="4"/>
        <v>2842.0467650608821</v>
      </c>
      <c r="R69" s="19">
        <f t="shared" si="4"/>
        <v>1558.8139827345653</v>
      </c>
      <c r="S69" s="19">
        <f t="shared" si="4"/>
        <v>1166.074746908811</v>
      </c>
      <c r="T69" s="19">
        <f t="shared" si="4"/>
        <v>2432.1948936767626</v>
      </c>
      <c r="U69" s="19">
        <f t="shared" si="4"/>
        <v>2373.1689709613224</v>
      </c>
      <c r="V69" s="19">
        <f t="shared" si="4"/>
        <v>2943.7540102363532</v>
      </c>
      <c r="W69" s="19">
        <f t="shared" si="4"/>
        <v>2490.1873162870329</v>
      </c>
      <c r="X69" s="19">
        <f t="shared" si="4"/>
        <v>1808.9079233336333</v>
      </c>
      <c r="Y69" s="81">
        <f t="shared" si="4"/>
        <v>2680.8354828488073</v>
      </c>
    </row>
    <row r="70" spans="1:25" s="3" customFormat="1" x14ac:dyDescent="0.25">
      <c r="A70" s="3" t="str">
        <f>'nastavit-mesic'!A76</f>
        <v>zbozi - Návštěvy</v>
      </c>
      <c r="B70" s="3">
        <f>'nastavit-mesic'!Z76</f>
        <v>12550.575034252182</v>
      </c>
      <c r="C70" s="20">
        <f>'nastavit-mesic'!Y76</f>
        <v>11601.196566614362</v>
      </c>
      <c r="D70" s="20">
        <f>'nastavit-mesic'!X76</f>
        <v>10727.340231159802</v>
      </c>
      <c r="E70" s="20">
        <f>'nastavit-mesic'!W76</f>
        <v>13638.344859644159</v>
      </c>
      <c r="F70" s="20">
        <f>'nastavit-mesic'!V76</f>
        <v>14503.17159895011</v>
      </c>
      <c r="G70" s="20">
        <f>'nastavit-mesic'!U76</f>
        <v>14624.463397228836</v>
      </c>
      <c r="H70" s="20">
        <f>'nastavit-mesic'!T76</f>
        <v>15264.891966224306</v>
      </c>
      <c r="I70" s="20">
        <f>'nastavit-mesic'!S76</f>
        <v>7720.3216859617496</v>
      </c>
      <c r="J70" s="20">
        <f>'nastavit-mesic'!Q76</f>
        <v>7988.1784763307114</v>
      </c>
      <c r="K70" s="20">
        <f>'nastavit-mesic'!P76</f>
        <v>7167.7221525901641</v>
      </c>
      <c r="L70" s="20">
        <f>'nastavit-mesic'!O76</f>
        <v>6341.1464716601822</v>
      </c>
      <c r="M70" s="57">
        <f>'nastavit-mesic'!N76</f>
        <v>6731.960880634093</v>
      </c>
      <c r="N70" s="20">
        <f>'nastavit-mesic'!M76</f>
        <v>6349.0729908637286</v>
      </c>
      <c r="O70" s="20">
        <f>'nastavit-mesic'!L76</f>
        <v>8844.351772301543</v>
      </c>
      <c r="P70" s="20">
        <f>'nastavit-mesic'!K76</f>
        <v>11866.135032344366</v>
      </c>
      <c r="Q70" s="20">
        <f>'nastavit-mesic'!J76</f>
        <v>10487.893427873965</v>
      </c>
      <c r="R70" s="20">
        <f>'nastavit-mesic'!I76</f>
        <v>5829.645593505953</v>
      </c>
      <c r="S70" s="20">
        <f>'nastavit-mesic'!H76</f>
        <v>6314.8316926129701</v>
      </c>
      <c r="T70" s="20">
        <f>'nastavit-mesic'!G76</f>
        <v>7363.0897561724005</v>
      </c>
      <c r="U70" s="20">
        <f>'nastavit-mesic'!F76</f>
        <v>4828.8900644803098</v>
      </c>
      <c r="V70" s="20">
        <f>'nastavit-mesic'!E76</f>
        <v>3675.3153232534492</v>
      </c>
      <c r="W70" s="20">
        <f>'nastavit-mesic'!D76</f>
        <v>8257.3111253815296</v>
      </c>
      <c r="X70" s="20">
        <f>'nastavit-mesic'!C76</f>
        <v>7921.207652221332</v>
      </c>
      <c r="Y70" s="61">
        <f>'nastavit-mesic'!B76</f>
        <v>5627.5609732966568</v>
      </c>
    </row>
    <row r="71" spans="1:25" s="3" customFormat="1" x14ac:dyDescent="0.25">
      <c r="A71" s="3" t="str">
        <f>'nastavit-mesic'!A77</f>
        <v>zbozi - Transakce</v>
      </c>
      <c r="B71" s="3">
        <f>'nastavit-mesic'!Z77</f>
        <v>211.11253790090134</v>
      </c>
      <c r="C71" s="20">
        <f>'nastavit-mesic'!Y77</f>
        <v>293.75899075604048</v>
      </c>
      <c r="D71" s="20">
        <f>'nastavit-mesic'!X77</f>
        <v>406.75695981753807</v>
      </c>
      <c r="E71" s="20">
        <f>'nastavit-mesic'!W77</f>
        <v>479.36621083426121</v>
      </c>
      <c r="F71" s="20">
        <f>'nastavit-mesic'!V77</f>
        <v>275.34781654496487</v>
      </c>
      <c r="G71" s="20">
        <f>'nastavit-mesic'!U77</f>
        <v>406.50918032583797</v>
      </c>
      <c r="H71" s="20">
        <f>'nastavit-mesic'!T77</f>
        <v>347.59454957740371</v>
      </c>
      <c r="I71" s="20">
        <f>'nastavit-mesic'!S77</f>
        <v>212.24854036297606</v>
      </c>
      <c r="J71" s="20">
        <f>'nastavit-mesic'!Q77</f>
        <v>317.96150100085987</v>
      </c>
      <c r="K71" s="20">
        <f>'nastavit-mesic'!P77</f>
        <v>242.05698091740263</v>
      </c>
      <c r="L71" s="20">
        <f>'nastavit-mesic'!O77</f>
        <v>253.13760580290642</v>
      </c>
      <c r="M71" s="57">
        <f>'nastavit-mesic'!N77</f>
        <v>163.3686663136306</v>
      </c>
      <c r="N71" s="20">
        <f>'nastavit-mesic'!M77</f>
        <v>254.84128903140302</v>
      </c>
      <c r="O71" s="20">
        <f>'nastavit-mesic'!L77</f>
        <v>230.92167364894229</v>
      </c>
      <c r="P71" s="20">
        <f>'nastavit-mesic'!K77</f>
        <v>530.99903423801038</v>
      </c>
      <c r="Q71" s="20">
        <f>'nastavit-mesic'!J77</f>
        <v>335.25863492724602</v>
      </c>
      <c r="R71" s="20">
        <f>'nastavit-mesic'!I77</f>
        <v>222.48264802620062</v>
      </c>
      <c r="S71" s="20">
        <f>'nastavit-mesic'!H77</f>
        <v>231.60780695964144</v>
      </c>
      <c r="T71" s="20">
        <f>'nastavit-mesic'!G77</f>
        <v>139.89580833962759</v>
      </c>
      <c r="U71" s="20">
        <f>'nastavit-mesic'!F77</f>
        <v>177.44158374039583</v>
      </c>
      <c r="V71" s="20">
        <f>'nastavit-mesic'!E77</f>
        <v>162.40502037158026</v>
      </c>
      <c r="W71" s="20">
        <f>'nastavit-mesic'!D77</f>
        <v>382.09810325153506</v>
      </c>
      <c r="X71" s="20">
        <f>'nastavit-mesic'!C77</f>
        <v>187.71603919024693</v>
      </c>
      <c r="Y71" s="61">
        <f>'nastavit-mesic'!B77</f>
        <v>127.79455492144032</v>
      </c>
    </row>
    <row r="72" spans="1:25" s="19" customFormat="1" x14ac:dyDescent="0.25">
      <c r="A72" s="19" t="str">
        <f>'nastavit-mesic'!A78</f>
        <v>zbozi - Obrat</v>
      </c>
      <c r="B72" s="19">
        <f>'nastavit-mesic'!Z78</f>
        <v>444515.75140449969</v>
      </c>
      <c r="C72" s="21">
        <f>'nastavit-mesic'!Y78</f>
        <v>537312.26792503858</v>
      </c>
      <c r="D72" s="21">
        <f>'nastavit-mesic'!X78</f>
        <v>431761.27779974358</v>
      </c>
      <c r="E72" s="21">
        <f>'nastavit-mesic'!W78</f>
        <v>437141.52849836077</v>
      </c>
      <c r="F72" s="21">
        <f>'nastavit-mesic'!V78</f>
        <v>396359.62661954848</v>
      </c>
      <c r="G72" s="21">
        <f>'nastavit-mesic'!U78</f>
        <v>507384.49429657543</v>
      </c>
      <c r="H72" s="21">
        <f>'nastavit-mesic'!T78</f>
        <v>410395.80568672228</v>
      </c>
      <c r="I72" s="21">
        <f>'nastavit-mesic'!S78</f>
        <v>450682.18164387561</v>
      </c>
      <c r="J72" s="21">
        <f>'nastavit-mesic'!Q78</f>
        <v>560643.01513041381</v>
      </c>
      <c r="K72" s="21">
        <f>'nastavit-mesic'!P78</f>
        <v>538613.85612843046</v>
      </c>
      <c r="L72" s="21">
        <f>'nastavit-mesic'!O78</f>
        <v>496963.62873866345</v>
      </c>
      <c r="M72" s="58">
        <f>'nastavit-mesic'!N78</f>
        <v>304665.28764967294</v>
      </c>
      <c r="N72" s="21">
        <f>'nastavit-mesic'!M78</f>
        <v>227514.62437959085</v>
      </c>
      <c r="O72" s="21">
        <f>'nastavit-mesic'!L78</f>
        <v>357754.75969624473</v>
      </c>
      <c r="P72" s="21">
        <f>'nastavit-mesic'!K78</f>
        <v>615819.16448696272</v>
      </c>
      <c r="Q72" s="21">
        <f>'nastavit-mesic'!J78</f>
        <v>347417.38914659881</v>
      </c>
      <c r="R72" s="21">
        <f>'nastavit-mesic'!I78</f>
        <v>402503.55636583344</v>
      </c>
      <c r="S72" s="21">
        <f>'nastavit-mesic'!H78</f>
        <v>297535.71497109911</v>
      </c>
      <c r="T72" s="21">
        <f>'nastavit-mesic'!G78</f>
        <v>222064.48928846529</v>
      </c>
      <c r="U72" s="21">
        <f>'nastavit-mesic'!F78</f>
        <v>350606.71894280741</v>
      </c>
      <c r="V72" s="21">
        <f>'nastavit-mesic'!E78</f>
        <v>329543.39415198198</v>
      </c>
      <c r="W72" s="21">
        <f>'nastavit-mesic'!D78</f>
        <v>457862.38922047522</v>
      </c>
      <c r="X72" s="21">
        <f>'nastavit-mesic'!C78</f>
        <v>359016.81085995521</v>
      </c>
      <c r="Y72" s="62">
        <f>'nastavit-mesic'!B78</f>
        <v>134558.79699381077</v>
      </c>
    </row>
    <row r="73" spans="1:25" s="5" customFormat="1" x14ac:dyDescent="0.25">
      <c r="A73" s="5" t="str">
        <f>'nastavit-mesic'!A79</f>
        <v>zbozi - KP</v>
      </c>
      <c r="B73" s="5">
        <f>'nastavit-mesic'!Z79</f>
        <v>1.6820945440726601E-2</v>
      </c>
      <c r="C73" s="22">
        <f>'nastavit-mesic'!Y79</f>
        <v>2.5321438962719833E-2</v>
      </c>
      <c r="D73" s="22">
        <f>'nastavit-mesic'!X79</f>
        <v>3.7917783071336496E-2</v>
      </c>
      <c r="E73" s="22">
        <f>'nastavit-mesic'!W79</f>
        <v>3.5148415424858852E-2</v>
      </c>
      <c r="F73" s="22">
        <f>'nastavit-mesic'!V79</f>
        <v>1.8985351905020376E-2</v>
      </c>
      <c r="G73" s="22">
        <f>'nastavit-mesic'!U79</f>
        <v>2.7796519385652585E-2</v>
      </c>
      <c r="H73" s="22">
        <f>'nastavit-mesic'!T79</f>
        <v>2.2770848974660609E-2</v>
      </c>
      <c r="I73" s="22">
        <f>'nastavit-mesic'!S79</f>
        <v>2.7492188667334716E-2</v>
      </c>
      <c r="J73" s="22">
        <f>'nastavit-mesic'!Q79</f>
        <v>3.9804005624435201E-2</v>
      </c>
      <c r="K73" s="22">
        <f>'nastavit-mesic'!P79</f>
        <v>3.3770419076572564E-2</v>
      </c>
      <c r="L73" s="22">
        <f>'nastavit-mesic'!O79</f>
        <v>3.9919848395590235E-2</v>
      </c>
      <c r="M73" s="59">
        <f>'nastavit-mesic'!N79</f>
        <v>2.4267619674320312E-2</v>
      </c>
      <c r="N73" s="22">
        <f>'nastavit-mesic'!M79</f>
        <v>4.0138346085817227E-2</v>
      </c>
      <c r="O73" s="22">
        <f>'nastavit-mesic'!L79</f>
        <v>2.6109508033379605E-2</v>
      </c>
      <c r="P73" s="22">
        <f>'nastavit-mesic'!K79</f>
        <v>4.4749114415993808E-2</v>
      </c>
      <c r="Q73" s="22">
        <f>'nastavit-mesic'!J79</f>
        <v>3.1966251109705197E-2</v>
      </c>
      <c r="R73" s="22">
        <f>'nastavit-mesic'!I79</f>
        <v>3.8164009193635974E-2</v>
      </c>
      <c r="S73" s="22">
        <f>'nastavit-mesic'!H79</f>
        <v>3.6676798089579181E-2</v>
      </c>
      <c r="T73" s="22">
        <f>'nastavit-mesic'!G79</f>
        <v>1.8999606547285997E-2</v>
      </c>
      <c r="U73" s="22">
        <f>'nastavit-mesic'!F79</f>
        <v>3.6745832141757875E-2</v>
      </c>
      <c r="V73" s="22">
        <f>'nastavit-mesic'!E79</f>
        <v>4.4188050843979476E-2</v>
      </c>
      <c r="W73" s="22">
        <f>'nastavit-mesic'!D79</f>
        <v>4.6273913801919413E-2</v>
      </c>
      <c r="X73" s="22">
        <f>'nastavit-mesic'!C79</f>
        <v>2.3697906611197854E-2</v>
      </c>
      <c r="Y73" s="63">
        <f>'nastavit-mesic'!B79</f>
        <v>2.2708693078198238E-2</v>
      </c>
    </row>
    <row r="74" spans="1:25" x14ac:dyDescent="0.25">
      <c r="A74" s="18" t="s">
        <v>164</v>
      </c>
      <c r="B74" s="19">
        <f t="shared" ref="B74:Y74" si="5">B72/B71</f>
        <v>2105.5866971442524</v>
      </c>
      <c r="C74" s="19">
        <f t="shared" si="5"/>
        <v>1829.0921634165848</v>
      </c>
      <c r="D74" s="19">
        <f t="shared" si="5"/>
        <v>1061.4723789690577</v>
      </c>
      <c r="E74" s="19">
        <f t="shared" si="5"/>
        <v>911.91560568606815</v>
      </c>
      <c r="F74" s="19">
        <f t="shared" si="5"/>
        <v>1439.4870879784955</v>
      </c>
      <c r="G74" s="19">
        <f t="shared" si="5"/>
        <v>1248.1501497454024</v>
      </c>
      <c r="H74" s="19">
        <f t="shared" si="5"/>
        <v>1180.6738804899867</v>
      </c>
      <c r="I74" s="19">
        <f t="shared" si="5"/>
        <v>2123.3699929014501</v>
      </c>
      <c r="J74" s="19">
        <f t="shared" si="5"/>
        <v>1763.2418181624373</v>
      </c>
      <c r="K74" s="19">
        <f t="shared" si="5"/>
        <v>2225.1531605784271</v>
      </c>
      <c r="L74" s="19">
        <f t="shared" si="5"/>
        <v>1963.2153316864369</v>
      </c>
      <c r="M74" s="71">
        <f t="shared" si="5"/>
        <v>1864.8942574139953</v>
      </c>
      <c r="N74" s="19">
        <f t="shared" si="5"/>
        <v>892.76986960914007</v>
      </c>
      <c r="O74" s="19">
        <f t="shared" si="5"/>
        <v>1549.2472146210057</v>
      </c>
      <c r="P74" s="19">
        <f t="shared" si="5"/>
        <v>1159.7368823291179</v>
      </c>
      <c r="Q74" s="19">
        <f t="shared" si="5"/>
        <v>1036.2667891372621</v>
      </c>
      <c r="R74" s="19">
        <f t="shared" si="5"/>
        <v>1809.1458364808418</v>
      </c>
      <c r="S74" s="19">
        <f t="shared" si="5"/>
        <v>1284.653219927711</v>
      </c>
      <c r="T74" s="19">
        <f t="shared" si="5"/>
        <v>1587.3562755315393</v>
      </c>
      <c r="U74" s="19">
        <f t="shared" si="5"/>
        <v>1975.8994005360048</v>
      </c>
      <c r="V74" s="19">
        <f t="shared" si="5"/>
        <v>2029.1453638439971</v>
      </c>
      <c r="W74" s="19">
        <f t="shared" si="5"/>
        <v>1198.2849046467643</v>
      </c>
      <c r="X74" s="19">
        <f t="shared" si="5"/>
        <v>1912.5526641657825</v>
      </c>
      <c r="Y74" s="81">
        <f t="shared" si="5"/>
        <v>1052.9305968985036</v>
      </c>
    </row>
    <row r="75" spans="1:25" s="3" customFormat="1" x14ac:dyDescent="0.25">
      <c r="A75" s="3" t="str">
        <f>'nastavit-mesic'!A80</f>
        <v>zbož-ost - Návštěvy</v>
      </c>
      <c r="B75" s="3">
        <f>'nastavit-mesic'!Z80</f>
        <v>2385.4879761436382</v>
      </c>
      <c r="C75" s="20">
        <f>'nastavit-mesic'!Y80</f>
        <v>3301.291316704885</v>
      </c>
      <c r="D75" s="20">
        <f>'nastavit-mesic'!X80</f>
        <v>2487.9693552651297</v>
      </c>
      <c r="E75" s="20">
        <f>'nastavit-mesic'!W80</f>
        <v>2534.1034898261805</v>
      </c>
      <c r="F75" s="20">
        <f>'nastavit-mesic'!V80</f>
        <v>2929.7293391473122</v>
      </c>
      <c r="G75" s="20">
        <f>'nastavit-mesic'!U80</f>
        <v>3466.21970367928</v>
      </c>
      <c r="H75" s="20">
        <f>'nastavit-mesic'!T80</f>
        <v>2555.4011925018144</v>
      </c>
      <c r="I75" s="20">
        <f>'nastavit-mesic'!S80</f>
        <v>3115.3649726195586</v>
      </c>
      <c r="J75" s="20">
        <f>'nastavit-mesic'!Q80</f>
        <v>3218.6291573533053</v>
      </c>
      <c r="K75" s="20">
        <f>'nastavit-mesic'!P80</f>
        <v>2576.5747066278041</v>
      </c>
      <c r="L75" s="20">
        <f>'nastavit-mesic'!O80</f>
        <v>1747.4187655188648</v>
      </c>
      <c r="M75" s="57">
        <f>'nastavit-mesic'!N80</f>
        <v>2112.802179334677</v>
      </c>
      <c r="N75" s="20">
        <f>'nastavit-mesic'!M80</f>
        <v>2474.6304297081724</v>
      </c>
      <c r="O75" s="20">
        <f>'nastavit-mesic'!L80</f>
        <v>3359.240260551775</v>
      </c>
      <c r="P75" s="20">
        <f>'nastavit-mesic'!K80</f>
        <v>2272.6276424482335</v>
      </c>
      <c r="Q75" s="20">
        <f>'nastavit-mesic'!J80</f>
        <v>4211.254499724042</v>
      </c>
      <c r="R75" s="20">
        <f>'nastavit-mesic'!I80</f>
        <v>2791.4460447302067</v>
      </c>
      <c r="S75" s="20">
        <f>'nastavit-mesic'!H80</f>
        <v>2049.2602823089937</v>
      </c>
      <c r="T75" s="20">
        <f>'nastavit-mesic'!G80</f>
        <v>2387.4887798087912</v>
      </c>
      <c r="U75" s="20">
        <f>'nastavit-mesic'!F80</f>
        <v>2259.6302520013892</v>
      </c>
      <c r="V75" s="20">
        <f>'nastavit-mesic'!E80</f>
        <v>1766.9667256817704</v>
      </c>
      <c r="W75" s="20">
        <f>'nastavit-mesic'!D80</f>
        <v>1372.4416641851121</v>
      </c>
      <c r="X75" s="20">
        <f>'nastavit-mesic'!C80</f>
        <v>1950.4894997378078</v>
      </c>
      <c r="Y75" s="61">
        <f>'nastavit-mesic'!B80</f>
        <v>1859.8367162846828</v>
      </c>
    </row>
    <row r="76" spans="1:25" s="3" customFormat="1" x14ac:dyDescent="0.25">
      <c r="A76" s="3" t="str">
        <f>'nastavit-mesic'!A81</f>
        <v>zbož-ost - Transakce</v>
      </c>
      <c r="B76" s="3">
        <f>'nastavit-mesic'!Z81</f>
        <v>52.668106877018715</v>
      </c>
      <c r="C76" s="20">
        <f>'nastavit-mesic'!Y81</f>
        <v>60.171667181373621</v>
      </c>
      <c r="D76" s="20">
        <f>'nastavit-mesic'!X81</f>
        <v>67.965752628608001</v>
      </c>
      <c r="E76" s="20">
        <f>'nastavit-mesic'!W81</f>
        <v>44.672764780938166</v>
      </c>
      <c r="F76" s="20">
        <f>'nastavit-mesic'!V81</f>
        <v>48.940333246354037</v>
      </c>
      <c r="G76" s="20">
        <f>'nastavit-mesic'!U81</f>
        <v>66.511958136205806</v>
      </c>
      <c r="H76" s="20">
        <f>'nastavit-mesic'!T81</f>
        <v>31.827529008200116</v>
      </c>
      <c r="I76" s="20">
        <f>'nastavit-mesic'!S81</f>
        <v>32.166954213801972</v>
      </c>
      <c r="J76" s="20">
        <f>'nastavit-mesic'!Q81</f>
        <v>32.179335034542191</v>
      </c>
      <c r="K76" s="20">
        <f>'nastavit-mesic'!P81</f>
        <v>42.219998143577257</v>
      </c>
      <c r="L76" s="20">
        <f>'nastavit-mesic'!O81</f>
        <v>31.209167191224971</v>
      </c>
      <c r="M76" s="57">
        <f>'nastavit-mesic'!N81</f>
        <v>33.143758222531126</v>
      </c>
      <c r="N76" s="20">
        <f>'nastavit-mesic'!M81</f>
        <v>37.482870068719109</v>
      </c>
      <c r="O76" s="20">
        <f>'nastavit-mesic'!L81</f>
        <v>48.088721285036513</v>
      </c>
      <c r="P76" s="20">
        <f>'nastavit-mesic'!K81</f>
        <v>63.09783609522534</v>
      </c>
      <c r="Q76" s="20">
        <f>'nastavit-mesic'!J81</f>
        <v>50.522412134534299</v>
      </c>
      <c r="R76" s="20">
        <f>'nastavit-mesic'!I81</f>
        <v>41.803114839829625</v>
      </c>
      <c r="S76" s="20">
        <f>'nastavit-mesic'!H81</f>
        <v>29.959761153972924</v>
      </c>
      <c r="T76" s="20">
        <f>'nastavit-mesic'!G81</f>
        <v>37.584902216490271</v>
      </c>
      <c r="U76" s="20">
        <f>'nastavit-mesic'!F81</f>
        <v>24.346475588692275</v>
      </c>
      <c r="V76" s="20">
        <f>'nastavit-mesic'!E81</f>
        <v>31.19396486375993</v>
      </c>
      <c r="W76" s="20">
        <f>'nastavit-mesic'!D81</f>
        <v>21.310938355117344</v>
      </c>
      <c r="X76" s="20">
        <f>'nastavit-mesic'!C81</f>
        <v>34.219654274647311</v>
      </c>
      <c r="Y76" s="61">
        <f>'nastavit-mesic'!B81</f>
        <v>41.266273305045658</v>
      </c>
    </row>
    <row r="77" spans="1:25" s="19" customFormat="1" x14ac:dyDescent="0.25">
      <c r="A77" s="19" t="str">
        <f>'nastavit-mesic'!A82</f>
        <v>zbož-ost - Obrat</v>
      </c>
      <c r="B77" s="19">
        <f>'nastavit-mesic'!Z82</f>
        <v>59722.867776248415</v>
      </c>
      <c r="C77" s="21">
        <f>'nastavit-mesic'!Y82</f>
        <v>101676.43506603446</v>
      </c>
      <c r="D77" s="21">
        <f>'nastavit-mesic'!X82</f>
        <v>63639.070269675387</v>
      </c>
      <c r="E77" s="21">
        <f>'nastavit-mesic'!W82</f>
        <v>71748.723582173465</v>
      </c>
      <c r="F77" s="21">
        <f>'nastavit-mesic'!V82</f>
        <v>57722.259433972096</v>
      </c>
      <c r="G77" s="21">
        <f>'nastavit-mesic'!U82</f>
        <v>82600.001130297329</v>
      </c>
      <c r="H77" s="21">
        <f>'nastavit-mesic'!T82</f>
        <v>58140.782530607314</v>
      </c>
      <c r="I77" s="21">
        <f>'nastavit-mesic'!S82</f>
        <v>31499.620686587841</v>
      </c>
      <c r="J77" s="21">
        <f>'nastavit-mesic'!Q82</f>
        <v>39608.599738929493</v>
      </c>
      <c r="K77" s="21">
        <f>'nastavit-mesic'!P82</f>
        <v>76141.180076596385</v>
      </c>
      <c r="L77" s="21">
        <f>'nastavit-mesic'!O82</f>
        <v>39071.023887336021</v>
      </c>
      <c r="M77" s="58">
        <f>'nastavit-mesic'!N82</f>
        <v>24632.858436211358</v>
      </c>
      <c r="N77" s="21">
        <f>'nastavit-mesic'!M82</f>
        <v>137361.3842466372</v>
      </c>
      <c r="O77" s="21">
        <f>'nastavit-mesic'!L82</f>
        <v>44653.446212739291</v>
      </c>
      <c r="P77" s="21">
        <f>'nastavit-mesic'!K82</f>
        <v>98797.192640842943</v>
      </c>
      <c r="Q77" s="21">
        <f>'nastavit-mesic'!J82</f>
        <v>47904.342816061224</v>
      </c>
      <c r="R77" s="21">
        <f>'nastavit-mesic'!I82</f>
        <v>59219.398213215172</v>
      </c>
      <c r="S77" s="21">
        <f>'nastavit-mesic'!H82</f>
        <v>39342.261151241823</v>
      </c>
      <c r="T77" s="21">
        <f>'nastavit-mesic'!G82</f>
        <v>27227.520171561766</v>
      </c>
      <c r="U77" s="21">
        <f>'nastavit-mesic'!F82</f>
        <v>26516.673983668934</v>
      </c>
      <c r="V77" s="21">
        <f>'nastavit-mesic'!E82</f>
        <v>39611.596313990813</v>
      </c>
      <c r="W77" s="21">
        <f>'nastavit-mesic'!D82</f>
        <v>21125.67068531672</v>
      </c>
      <c r="X77" s="21">
        <f>'nastavit-mesic'!C82</f>
        <v>54726.659446592421</v>
      </c>
      <c r="Y77" s="62">
        <f>'nastavit-mesic'!B82</f>
        <v>35891.590446824041</v>
      </c>
    </row>
    <row r="78" spans="1:25" s="5" customFormat="1" x14ac:dyDescent="0.25">
      <c r="A78" s="5" t="str">
        <f>'nastavit-mesic'!A83</f>
        <v>zbož-ost - KP</v>
      </c>
      <c r="B78" s="5">
        <f>'nastavit-mesic'!Z83</f>
        <v>2.2078546361890106E-2</v>
      </c>
      <c r="C78" s="22">
        <f>'nastavit-mesic'!Y83</f>
        <v>1.822670628214438E-2</v>
      </c>
      <c r="D78" s="22">
        <f>'nastavit-mesic'!X83</f>
        <v>2.731776116324602E-2</v>
      </c>
      <c r="E78" s="22">
        <f>'nastavit-mesic'!W83</f>
        <v>1.7628626834021829E-2</v>
      </c>
      <c r="F78" s="22">
        <f>'nastavit-mesic'!V83</f>
        <v>1.6704728519596951E-2</v>
      </c>
      <c r="G78" s="22">
        <f>'nastavit-mesic'!U83</f>
        <v>1.918861578958931E-2</v>
      </c>
      <c r="H78" s="22">
        <f>'nastavit-mesic'!T83</f>
        <v>1.2455002800182625E-2</v>
      </c>
      <c r="I78" s="22">
        <f>'nastavit-mesic'!S83</f>
        <v>1.0325260281383452E-2</v>
      </c>
      <c r="J78" s="22">
        <f>'nastavit-mesic'!Q83</f>
        <v>9.9978386640241015E-3</v>
      </c>
      <c r="K78" s="22">
        <f>'nastavit-mesic'!P83</f>
        <v>1.6386095087782018E-2</v>
      </c>
      <c r="L78" s="22">
        <f>'nastavit-mesic'!O83</f>
        <v>1.7860153391427019E-2</v>
      </c>
      <c r="M78" s="59">
        <f>'nastavit-mesic'!N83</f>
        <v>1.5687109066201417E-2</v>
      </c>
      <c r="N78" s="22">
        <f>'nastavit-mesic'!M83</f>
        <v>1.5146855715800512E-2</v>
      </c>
      <c r="O78" s="22">
        <f>'nastavit-mesic'!L83</f>
        <v>1.431535631724587E-2</v>
      </c>
      <c r="P78" s="22">
        <f>'nastavit-mesic'!K83</f>
        <v>2.776426499294532E-2</v>
      </c>
      <c r="Q78" s="22">
        <f>'nastavit-mesic'!J83</f>
        <v>1.1996998076902018E-2</v>
      </c>
      <c r="R78" s="22">
        <f>'nastavit-mesic'!I83</f>
        <v>1.497543358172624E-2</v>
      </c>
      <c r="S78" s="22">
        <f>'nastavit-mesic'!H83</f>
        <v>1.4619793011464563E-2</v>
      </c>
      <c r="T78" s="22">
        <f>'nastavit-mesic'!G83</f>
        <v>1.5742441403012737E-2</v>
      </c>
      <c r="U78" s="22">
        <f>'nastavit-mesic'!F83</f>
        <v>1.0774539581034652E-2</v>
      </c>
      <c r="V78" s="22">
        <f>'nastavit-mesic'!E83</f>
        <v>1.7653962811169509E-2</v>
      </c>
      <c r="W78" s="22">
        <f>'nastavit-mesic'!D83</f>
        <v>1.5527755321950769E-2</v>
      </c>
      <c r="X78" s="22">
        <f>'nastavit-mesic'!C83</f>
        <v>1.7544136627880975E-2</v>
      </c>
      <c r="Y78" s="63">
        <f>'nastavit-mesic'!B83</f>
        <v>2.2188116270487199E-2</v>
      </c>
    </row>
    <row r="79" spans="1:25" x14ac:dyDescent="0.25">
      <c r="A79" s="18" t="s">
        <v>166</v>
      </c>
      <c r="B79" s="19">
        <f t="shared" ref="B79:Y79" si="6">B77/B76</f>
        <v>1133.9474934176528</v>
      </c>
      <c r="C79" s="19">
        <f t="shared" si="6"/>
        <v>1689.772609416892</v>
      </c>
      <c r="D79" s="19">
        <f t="shared" si="6"/>
        <v>936.340256797047</v>
      </c>
      <c r="E79" s="19">
        <f t="shared" si="6"/>
        <v>1606.0954349704496</v>
      </c>
      <c r="F79" s="19">
        <f t="shared" si="6"/>
        <v>1179.4414873190979</v>
      </c>
      <c r="G79" s="19">
        <f t="shared" si="6"/>
        <v>1241.8819629568836</v>
      </c>
      <c r="H79" s="19">
        <f t="shared" si="6"/>
        <v>1826.7450959082557</v>
      </c>
      <c r="I79" s="19">
        <f t="shared" si="6"/>
        <v>979.25406543688871</v>
      </c>
      <c r="J79" s="19">
        <f t="shared" si="6"/>
        <v>1230.8706720139655</v>
      </c>
      <c r="K79" s="19">
        <f t="shared" si="6"/>
        <v>1803.4387357778558</v>
      </c>
      <c r="L79" s="19">
        <f t="shared" si="6"/>
        <v>1251.9085705792738</v>
      </c>
      <c r="M79" s="71">
        <f t="shared" si="6"/>
        <v>743.21259136708102</v>
      </c>
      <c r="N79" s="19">
        <f t="shared" si="6"/>
        <v>3664.6442493546015</v>
      </c>
      <c r="O79" s="19">
        <f t="shared" si="6"/>
        <v>928.56380913238888</v>
      </c>
      <c r="P79" s="19">
        <f t="shared" si="6"/>
        <v>1565.7778262275306</v>
      </c>
      <c r="Q79" s="19">
        <f t="shared" si="6"/>
        <v>948.18004113696088</v>
      </c>
      <c r="R79" s="19">
        <f t="shared" si="6"/>
        <v>1416.6264509263667</v>
      </c>
      <c r="S79" s="19">
        <f t="shared" si="6"/>
        <v>1313.1700532941231</v>
      </c>
      <c r="T79" s="19">
        <f t="shared" si="6"/>
        <v>724.42705889536057</v>
      </c>
      <c r="U79" s="19">
        <f t="shared" si="6"/>
        <v>1089.1380925781557</v>
      </c>
      <c r="V79" s="19">
        <f t="shared" si="6"/>
        <v>1269.8480775686901</v>
      </c>
      <c r="W79" s="19">
        <f t="shared" si="6"/>
        <v>991.30645179891212</v>
      </c>
      <c r="X79" s="19">
        <f t="shared" si="6"/>
        <v>1599.2756387120592</v>
      </c>
      <c r="Y79" s="81">
        <f t="shared" si="6"/>
        <v>869.75603979328923</v>
      </c>
    </row>
    <row r="80" spans="1:25" s="19" customFormat="1" x14ac:dyDescent="0.25">
      <c r="A80" s="19" t="str">
        <f>'nastavit-mesic'!A104</f>
        <v>Heureka-náklady</v>
      </c>
      <c r="B80" s="19">
        <f>'nastavit-mesic'!Z104</f>
        <v>6173.6829562709563</v>
      </c>
      <c r="C80" s="21">
        <f>'nastavit-mesic'!Y104</f>
        <v>3429.632032982317</v>
      </c>
      <c r="D80" s="21">
        <f>'nastavit-mesic'!X104</f>
        <v>9424.2427910283459</v>
      </c>
      <c r="E80" s="21">
        <f>'nastavit-mesic'!W104</f>
        <v>18727.642583807905</v>
      </c>
      <c r="F80" s="21">
        <f>'nastavit-mesic'!V104</f>
        <v>10519.901443278492</v>
      </c>
      <c r="G80" s="21">
        <f>'nastavit-mesic'!U104</f>
        <v>14313.959776317715</v>
      </c>
      <c r="H80" s="21">
        <f>'nastavit-mesic'!T104</f>
        <v>14232.03790824785</v>
      </c>
      <c r="I80" s="21">
        <f>'nastavit-mesic'!S104</f>
        <v>10312.285144559848</v>
      </c>
      <c r="J80" s="21">
        <f>'nastavit-mesic'!Q104</f>
        <v>10543.468608197447</v>
      </c>
      <c r="K80" s="21">
        <f>'nastavit-mesic'!P104</f>
        <v>7922.4911588178784</v>
      </c>
      <c r="L80" s="21">
        <f>'nastavit-mesic'!O104</f>
        <v>11924.060402407866</v>
      </c>
      <c r="M80" s="58">
        <f>'nastavit-mesic'!N104</f>
        <v>6623.5510823728946</v>
      </c>
      <c r="N80" s="21">
        <f>'nastavit-mesic'!M104</f>
        <v>8306.9296101520467</v>
      </c>
      <c r="O80" s="21">
        <f>'nastavit-mesic'!L104</f>
        <v>12066.898353138087</v>
      </c>
      <c r="P80" s="21">
        <f>'nastavit-mesic'!K104</f>
        <v>11584.335653139153</v>
      </c>
      <c r="Q80" s="21">
        <f>'nastavit-mesic'!J104</f>
        <v>18212.737237131943</v>
      </c>
      <c r="R80" s="21">
        <f>'nastavit-mesic'!I104</f>
        <v>6969.3176324166652</v>
      </c>
      <c r="S80" s="21">
        <f>'nastavit-mesic'!H104</f>
        <v>8796.0553117915733</v>
      </c>
      <c r="T80" s="21">
        <f>'nastavit-mesic'!G104</f>
        <v>11321.103568459941</v>
      </c>
      <c r="U80" s="21">
        <f>'nastavit-mesic'!F104</f>
        <v>26582.006626807994</v>
      </c>
      <c r="V80" s="21">
        <f>'nastavit-mesic'!E104</f>
        <v>30083.68157466835</v>
      </c>
      <c r="W80" s="21">
        <f>'nastavit-mesic'!D104</f>
        <v>30755.006541731433</v>
      </c>
      <c r="X80" s="21">
        <f>'nastavit-mesic'!C104</f>
        <v>26508.318060076988</v>
      </c>
      <c r="Y80" s="62">
        <f>'nastavit-mesic'!B104</f>
        <v>13758.382162319078</v>
      </c>
    </row>
    <row r="81" spans="1:25" s="19" customFormat="1" x14ac:dyDescent="0.25">
      <c r="A81" s="19" t="str">
        <f>'nastavit-mesic'!A105</f>
        <v>Zboží-náklady</v>
      </c>
      <c r="B81" s="19">
        <f>'nastavit-mesic'!Z105</f>
        <v>6153.9525520153766</v>
      </c>
      <c r="C81" s="21">
        <f>'nastavit-mesic'!Y105</f>
        <v>6555.5300577848348</v>
      </c>
      <c r="D81" s="21">
        <f>'nastavit-mesic'!X105</f>
        <v>9819.457573208485</v>
      </c>
      <c r="E81" s="21">
        <f>'nastavit-mesic'!W105</f>
        <v>18421.35484806641</v>
      </c>
      <c r="F81" s="21">
        <f>'nastavit-mesic'!V105</f>
        <v>13516.942817253946</v>
      </c>
      <c r="G81" s="21">
        <f>'nastavit-mesic'!U105</f>
        <v>12368.58932892584</v>
      </c>
      <c r="H81" s="21">
        <f>'nastavit-mesic'!T105</f>
        <v>12347.582867272351</v>
      </c>
      <c r="I81" s="21">
        <f>'nastavit-mesic'!S105</f>
        <v>8888.4453252572057</v>
      </c>
      <c r="J81" s="21">
        <f>'nastavit-mesic'!Q105</f>
        <v>6273.1562436132626</v>
      </c>
      <c r="K81" s="21">
        <f>'nastavit-mesic'!P105</f>
        <v>5148.2820535785231</v>
      </c>
      <c r="L81" s="21">
        <f>'nastavit-mesic'!O105</f>
        <v>9254.8366799111427</v>
      </c>
      <c r="M81" s="58">
        <f>'nastavit-mesic'!N105</f>
        <v>7700.748563631827</v>
      </c>
      <c r="N81" s="21">
        <f>'nastavit-mesic'!M105</f>
        <v>7160.3257128489222</v>
      </c>
      <c r="O81" s="21">
        <f>'nastavit-mesic'!L105</f>
        <v>11864.593716468853</v>
      </c>
      <c r="P81" s="21">
        <f>'nastavit-mesic'!K105</f>
        <v>6953.9586841381206</v>
      </c>
      <c r="Q81" s="21">
        <f>'nastavit-mesic'!J105</f>
        <v>7729.1859930423925</v>
      </c>
      <c r="R81" s="21">
        <f>'nastavit-mesic'!I105</f>
        <v>7826.8919452905066</v>
      </c>
      <c r="S81" s="21">
        <f>'nastavit-mesic'!H105</f>
        <v>6843.0279403069662</v>
      </c>
      <c r="T81" s="21">
        <f>'nastavit-mesic'!G105</f>
        <v>6646.7343890430711</v>
      </c>
      <c r="U81" s="21">
        <f>'nastavit-mesic'!F105</f>
        <v>5587.7630468096004</v>
      </c>
      <c r="V81" s="21">
        <f>'nastavit-mesic'!E105</f>
        <v>4869.5297932550666</v>
      </c>
      <c r="W81" s="21">
        <f>'nastavit-mesic'!D105</f>
        <v>18408.392242069556</v>
      </c>
      <c r="X81" s="21">
        <f>'nastavit-mesic'!C105</f>
        <v>8342.159381923886</v>
      </c>
      <c r="Y81" s="62">
        <f>'nastavit-mesic'!B105</f>
        <v>8330.0020199713872</v>
      </c>
    </row>
    <row r="82" spans="1:25" s="19" customFormat="1" x14ac:dyDescent="0.25">
      <c r="A82" s="19" t="s">
        <v>143</v>
      </c>
      <c r="B82" s="19">
        <f>B80/B66</f>
        <v>36.606097449592831</v>
      </c>
      <c r="C82" s="19">
        <f t="shared" ref="C82:Y82" si="7">C80/C66</f>
        <v>33.146268872789747</v>
      </c>
      <c r="D82" s="19">
        <f t="shared" si="7"/>
        <v>50.745549759374327</v>
      </c>
      <c r="E82" s="19">
        <f t="shared" si="7"/>
        <v>29.151944410006241</v>
      </c>
      <c r="F82" s="19">
        <f t="shared" si="7"/>
        <v>34.537289990341868</v>
      </c>
      <c r="G82" s="19">
        <f t="shared" si="7"/>
        <v>41.658584361384179</v>
      </c>
      <c r="H82" s="19">
        <f t="shared" si="7"/>
        <v>40.90537960306029</v>
      </c>
      <c r="I82" s="19">
        <f t="shared" si="7"/>
        <v>26.503054820142932</v>
      </c>
      <c r="J82" s="19">
        <f t="shared" si="7"/>
        <v>43.121331691546281</v>
      </c>
      <c r="K82" s="19">
        <f t="shared" si="7"/>
        <v>20.179260787384045</v>
      </c>
      <c r="L82" s="19">
        <f t="shared" si="7"/>
        <v>30.516200105796425</v>
      </c>
      <c r="M82" s="71">
        <f t="shared" si="7"/>
        <v>32.468415879076531</v>
      </c>
      <c r="N82" s="19">
        <f t="shared" si="7"/>
        <v>38.899055302202157</v>
      </c>
      <c r="O82" s="19">
        <f t="shared" si="7"/>
        <v>21.518503350907437</v>
      </c>
      <c r="P82" s="19">
        <f t="shared" si="7"/>
        <v>16.414029635963448</v>
      </c>
      <c r="Q82" s="19">
        <f t="shared" si="7"/>
        <v>64.937122158976067</v>
      </c>
      <c r="R82" s="19">
        <f t="shared" si="7"/>
        <v>26.673053675341151</v>
      </c>
      <c r="S82" s="19">
        <f t="shared" si="7"/>
        <v>46.385520685555036</v>
      </c>
      <c r="T82" s="19">
        <f t="shared" si="7"/>
        <v>44.67157542211379</v>
      </c>
      <c r="U82" s="19">
        <f t="shared" si="7"/>
        <v>76.077452329724139</v>
      </c>
      <c r="V82" s="19">
        <f t="shared" si="7"/>
        <v>122.92476528924246</v>
      </c>
      <c r="W82" s="19">
        <f t="shared" si="7"/>
        <v>40.408293708873032</v>
      </c>
      <c r="X82" s="19">
        <f t="shared" si="7"/>
        <v>69.870274528535177</v>
      </c>
      <c r="Y82" s="81">
        <f t="shared" si="7"/>
        <v>59.362906124869291</v>
      </c>
    </row>
    <row r="83" spans="1:25" s="5" customFormat="1" x14ac:dyDescent="0.25">
      <c r="A83" s="5" t="s">
        <v>145</v>
      </c>
      <c r="B83" s="5">
        <f>B80/B67</f>
        <v>1.6306095033691761E-2</v>
      </c>
      <c r="C83" s="5">
        <f t="shared" ref="C83:Y83" si="8">C80/C67</f>
        <v>1.5136260019861562E-2</v>
      </c>
      <c r="D83" s="5">
        <f t="shared" si="8"/>
        <v>1.8115089598151293E-2</v>
      </c>
      <c r="E83" s="5">
        <f t="shared" si="8"/>
        <v>3.4372203306922956E-2</v>
      </c>
      <c r="F83" s="5">
        <f t="shared" si="8"/>
        <v>1.5404683553088949E-2</v>
      </c>
      <c r="G83" s="5">
        <f t="shared" si="8"/>
        <v>3.4653075939937127E-2</v>
      </c>
      <c r="H83" s="5">
        <f t="shared" si="8"/>
        <v>4.5108839265163056E-2</v>
      </c>
      <c r="I83" s="5">
        <f t="shared" si="8"/>
        <v>1.8768819907516627E-2</v>
      </c>
      <c r="J83" s="5">
        <f t="shared" si="8"/>
        <v>1.285501216305408E-2</v>
      </c>
      <c r="K83" s="5">
        <f t="shared" si="8"/>
        <v>1.0613737897029994E-2</v>
      </c>
      <c r="L83" s="5">
        <f t="shared" si="8"/>
        <v>1.792547036600212E-2</v>
      </c>
      <c r="M83" s="72">
        <f t="shared" si="8"/>
        <v>1.7699872252032362E-2</v>
      </c>
      <c r="N83" s="5">
        <f t="shared" si="8"/>
        <v>4.2251088572677648E-2</v>
      </c>
      <c r="O83" s="5">
        <f t="shared" si="8"/>
        <v>1.6940951204154335E-2</v>
      </c>
      <c r="P83" s="5">
        <f t="shared" si="8"/>
        <v>1.8861488013576781E-2</v>
      </c>
      <c r="Q83" s="5">
        <f t="shared" si="8"/>
        <v>2.2848716973024541E-2</v>
      </c>
      <c r="R83" s="5">
        <f t="shared" si="8"/>
        <v>1.7111120358665039E-2</v>
      </c>
      <c r="S83" s="5">
        <f t="shared" si="8"/>
        <v>3.9779200097180785E-2</v>
      </c>
      <c r="T83" s="5">
        <f t="shared" si="8"/>
        <v>1.8366774610970225E-2</v>
      </c>
      <c r="U83" s="5">
        <f t="shared" si="8"/>
        <v>3.2057326410646056E-2</v>
      </c>
      <c r="V83" s="5">
        <f t="shared" si="8"/>
        <v>4.1757825165348261E-2</v>
      </c>
      <c r="W83" s="5">
        <f t="shared" si="8"/>
        <v>1.6227009689023467E-2</v>
      </c>
      <c r="X83" s="5">
        <f t="shared" si="8"/>
        <v>3.8625666694947838E-2</v>
      </c>
      <c r="Y83" s="82">
        <f t="shared" si="8"/>
        <v>2.2143434949535551E-2</v>
      </c>
    </row>
    <row r="84" spans="1:25" s="19" customFormat="1" x14ac:dyDescent="0.25">
      <c r="A84" s="19" t="s">
        <v>144</v>
      </c>
      <c r="B84" s="19">
        <f>B81/B71</f>
        <v>29.150104551839135</v>
      </c>
      <c r="C84" s="19">
        <f t="shared" ref="C84:Y84" si="9">C81/C71</f>
        <v>22.316015046596615</v>
      </c>
      <c r="D84" s="19">
        <f t="shared" si="9"/>
        <v>24.140847098506367</v>
      </c>
      <c r="E84" s="19">
        <f t="shared" si="9"/>
        <v>38.428563448406074</v>
      </c>
      <c r="F84" s="19">
        <f t="shared" si="9"/>
        <v>49.090430375890058</v>
      </c>
      <c r="G84" s="19">
        <f t="shared" si="9"/>
        <v>30.426346876131507</v>
      </c>
      <c r="H84" s="19">
        <f t="shared" si="9"/>
        <v>35.522947302494288</v>
      </c>
      <c r="I84" s="19">
        <f t="shared" si="9"/>
        <v>41.877533339247769</v>
      </c>
      <c r="J84" s="19">
        <f t="shared" si="9"/>
        <v>19.729294973973275</v>
      </c>
      <c r="K84" s="19">
        <f t="shared" si="9"/>
        <v>21.268884847139677</v>
      </c>
      <c r="L84" s="19">
        <f t="shared" si="9"/>
        <v>36.560497009349852</v>
      </c>
      <c r="M84" s="71">
        <f t="shared" si="9"/>
        <v>47.137243251090425</v>
      </c>
      <c r="N84" s="19">
        <f t="shared" si="9"/>
        <v>28.097196259145374</v>
      </c>
      <c r="O84" s="19">
        <f t="shared" si="9"/>
        <v>51.379299002076145</v>
      </c>
      <c r="P84" s="19">
        <f t="shared" si="9"/>
        <v>13.095991208566188</v>
      </c>
      <c r="Q84" s="19">
        <f t="shared" si="9"/>
        <v>23.054397971642675</v>
      </c>
      <c r="R84" s="19">
        <f t="shared" si="9"/>
        <v>35.179785995574697</v>
      </c>
      <c r="S84" s="19">
        <f t="shared" si="9"/>
        <v>29.545756812504123</v>
      </c>
      <c r="T84" s="19">
        <f t="shared" si="9"/>
        <v>47.512033905309536</v>
      </c>
      <c r="U84" s="19">
        <f t="shared" si="9"/>
        <v>31.4907189680223</v>
      </c>
      <c r="V84" s="19">
        <f t="shared" si="9"/>
        <v>29.983862457660823</v>
      </c>
      <c r="W84" s="19">
        <f t="shared" si="9"/>
        <v>48.177135885836414</v>
      </c>
      <c r="X84" s="19">
        <f t="shared" si="9"/>
        <v>44.440312175291815</v>
      </c>
      <c r="Y84" s="81">
        <f t="shared" si="9"/>
        <v>65.182761699761969</v>
      </c>
    </row>
    <row r="85" spans="1:25" s="5" customFormat="1" x14ac:dyDescent="0.25">
      <c r="A85" s="5" t="s">
        <v>146</v>
      </c>
      <c r="B85" s="5">
        <f>B81/B72</f>
        <v>1.3844172073928181E-2</v>
      </c>
      <c r="C85" s="5">
        <f t="shared" ref="C85:Y85" si="10">C81/C72</f>
        <v>1.220059628100546E-2</v>
      </c>
      <c r="D85" s="5">
        <f t="shared" si="10"/>
        <v>2.2742793478953145E-2</v>
      </c>
      <c r="E85" s="5">
        <f t="shared" si="10"/>
        <v>4.2140482308661478E-2</v>
      </c>
      <c r="F85" s="5">
        <f t="shared" si="10"/>
        <v>3.4102723661682072E-2</v>
      </c>
      <c r="G85" s="5">
        <f t="shared" si="10"/>
        <v>2.4377152766706694E-2</v>
      </c>
      <c r="H85" s="5">
        <f t="shared" si="10"/>
        <v>3.0087010384063088E-2</v>
      </c>
      <c r="I85" s="5">
        <f t="shared" si="10"/>
        <v>1.9722202668045048E-2</v>
      </c>
      <c r="J85" s="5">
        <f t="shared" si="10"/>
        <v>1.1189216799845502E-2</v>
      </c>
      <c r="K85" s="5">
        <f t="shared" si="10"/>
        <v>9.5583914060148774E-3</v>
      </c>
      <c r="L85" s="5">
        <f t="shared" si="10"/>
        <v>1.8622764614385799E-2</v>
      </c>
      <c r="M85" s="72">
        <f t="shared" si="10"/>
        <v>2.527609437569641E-2</v>
      </c>
      <c r="N85" s="5">
        <f t="shared" si="10"/>
        <v>3.1471936067294135E-2</v>
      </c>
      <c r="O85" s="5">
        <f t="shared" si="10"/>
        <v>3.3164041553332808E-2</v>
      </c>
      <c r="P85" s="5">
        <f t="shared" si="10"/>
        <v>1.1292208955418666E-2</v>
      </c>
      <c r="Q85" s="5">
        <f t="shared" si="10"/>
        <v>2.2247550740129844E-2</v>
      </c>
      <c r="R85" s="5">
        <f t="shared" si="10"/>
        <v>1.9445522459375947E-2</v>
      </c>
      <c r="S85" s="5">
        <f t="shared" si="10"/>
        <v>2.2999013550261214E-2</v>
      </c>
      <c r="T85" s="5">
        <f t="shared" si="10"/>
        <v>2.9931550111142975E-2</v>
      </c>
      <c r="U85" s="5">
        <f t="shared" si="10"/>
        <v>1.5937410052090595E-2</v>
      </c>
      <c r="V85" s="5">
        <f t="shared" si="10"/>
        <v>1.4776596586880119E-2</v>
      </c>
      <c r="W85" s="5">
        <f t="shared" si="10"/>
        <v>4.0205076187651949E-2</v>
      </c>
      <c r="X85" s="5">
        <f t="shared" si="10"/>
        <v>2.3236124687147267E-2</v>
      </c>
      <c r="Y85" s="82">
        <f t="shared" si="10"/>
        <v>6.1906038148918187E-2</v>
      </c>
    </row>
    <row r="89" spans="1:25" ht="18.75" x14ac:dyDescent="0.3">
      <c r="A89" s="107" t="s">
        <v>186</v>
      </c>
    </row>
    <row r="90" spans="1:25" x14ac:dyDescent="0.25">
      <c r="A90" s="106" t="s">
        <v>187</v>
      </c>
    </row>
  </sheetData>
  <conditionalFormatting sqref="C39:C42">
    <cfRule type="iconSet" priority="7">
      <iconSet iconSet="4Arrows">
        <cfvo type="percent" val="0"/>
        <cfvo type="num" val="-0.2"/>
        <cfvo type="num" val="0"/>
        <cfvo type="num" val="0.2"/>
      </iconSet>
    </cfRule>
  </conditionalFormatting>
  <conditionalFormatting sqref="C47:C53">
    <cfRule type="iconSet" priority="6">
      <iconSet iconSet="4Arrows">
        <cfvo type="percent" val="0"/>
        <cfvo type="num" val="-0.2"/>
        <cfvo type="num" val="0"/>
        <cfvo type="num" val="0.2"/>
      </iconSet>
    </cfRule>
  </conditionalFormatting>
  <conditionalFormatting sqref="H47:H53">
    <cfRule type="iconSet" priority="5">
      <iconSet iconSet="4Arrows">
        <cfvo type="percent" val="0"/>
        <cfvo type="num" val="-0.2"/>
        <cfvo type="num" val="0"/>
        <cfvo type="num" val="0.2"/>
      </iconSet>
    </cfRule>
  </conditionalFormatting>
  <conditionalFormatting sqref="H51:H53">
    <cfRule type="iconSet" priority="4">
      <iconSet iconSet="4Arrows">
        <cfvo type="percent" val="0"/>
        <cfvo type="num" val="-0.2"/>
        <cfvo type="num" val="0"/>
        <cfvo type="num" val="0.2"/>
      </iconSet>
    </cfRule>
  </conditionalFormatting>
  <conditionalFormatting sqref="C43">
    <cfRule type="iconSet" priority="3">
      <iconSet iconSet="4Arrows">
        <cfvo type="percent" val="0"/>
        <cfvo type="num" val="-0.2"/>
        <cfvo type="num" val="0"/>
        <cfvo type="num" val="0.2"/>
      </iconSet>
    </cfRule>
  </conditionalFormatting>
  <conditionalFormatting sqref="C54">
    <cfRule type="iconSet" priority="2">
      <iconSet iconSet="4Arrows">
        <cfvo type="percent" val="0"/>
        <cfvo type="num" val="-0.2"/>
        <cfvo type="num" val="0"/>
        <cfvo type="num" val="0.2"/>
      </iconSet>
    </cfRule>
  </conditionalFormatting>
  <conditionalFormatting sqref="H54">
    <cfRule type="iconSet" priority="1">
      <iconSet iconSet="4Arrows">
        <cfvo type="percent" val="0"/>
        <cfvo type="num" val="-0.2"/>
        <cfvo type="num" val="0"/>
        <cfvo type="num" val="0.2"/>
      </iconSet>
    </cfRule>
  </conditionalFormatting>
  <hyperlinks>
    <hyperlink ref="A90" r:id="rId1"/>
  </hyperlinks>
  <pageMargins left="0.70866141732283472" right="0.70866141732283472" top="0.78740157480314965" bottom="0.78740157480314965" header="0.31496062992125984" footer="0.31496062992125984"/>
  <pageSetup paperSize="9" orientation="landscape" verticalDpi="0" r:id="rId2"/>
  <ignoredErrors>
    <ignoredError sqref="C42" formula="1"/>
  </ignoredError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4:AB104"/>
  <sheetViews>
    <sheetView zoomScaleNormal="100" workbookViewId="0">
      <selection activeCell="A75" sqref="A75:A76"/>
    </sheetView>
  </sheetViews>
  <sheetFormatPr defaultRowHeight="15" x14ac:dyDescent="0.25"/>
  <cols>
    <col min="1" max="1" width="21.140625" style="18" customWidth="1"/>
    <col min="2" max="2" width="14.140625" style="18" customWidth="1"/>
    <col min="3" max="6" width="11.42578125" style="18" bestFit="1" customWidth="1"/>
    <col min="7" max="7" width="12.7109375" style="18" bestFit="1" customWidth="1"/>
    <col min="8" max="8" width="11.42578125" style="18" bestFit="1" customWidth="1"/>
    <col min="9" max="9" width="11.28515625" style="18" bestFit="1" customWidth="1"/>
    <col min="10" max="11" width="11.42578125" style="18" bestFit="1" customWidth="1"/>
    <col min="12" max="12" width="12.7109375" style="18" bestFit="1" customWidth="1"/>
    <col min="13" max="13" width="12.28515625" style="18" customWidth="1"/>
    <col min="14" max="15" width="11.42578125" style="18" bestFit="1" customWidth="1"/>
    <col min="16" max="16" width="22.5703125" style="18" customWidth="1"/>
    <col min="17" max="17" width="12.42578125" style="18" bestFit="1" customWidth="1"/>
    <col min="18" max="18" width="12.5703125" style="18" customWidth="1"/>
    <col min="19" max="21" width="11.42578125" style="18" bestFit="1" customWidth="1"/>
    <col min="22" max="22" width="12.42578125" style="18" bestFit="1" customWidth="1"/>
    <col min="23" max="25" width="11.42578125" style="18" bestFit="1" customWidth="1"/>
    <col min="26" max="16384" width="9.140625" style="18"/>
  </cols>
  <sheetData>
    <row r="34" spans="1:28" x14ac:dyDescent="0.25">
      <c r="P34" s="1" t="s">
        <v>155</v>
      </c>
    </row>
    <row r="35" spans="1:28" x14ac:dyDescent="0.25">
      <c r="P35" s="28"/>
      <c r="Q35" s="29" t="str">
        <f>Y45</f>
        <v>2013-09</v>
      </c>
      <c r="R35" s="33" t="s">
        <v>108</v>
      </c>
      <c r="S35" s="26" t="str">
        <f>X45</f>
        <v>2013-08</v>
      </c>
    </row>
    <row r="36" spans="1:28" x14ac:dyDescent="0.25">
      <c r="P36" s="27" t="s">
        <v>0</v>
      </c>
      <c r="Q36" s="30">
        <f>Y64</f>
        <v>12804.918989483891</v>
      </c>
      <c r="R36" s="34">
        <f>(Q36-S36)/S36</f>
        <v>-0.28429532672302371</v>
      </c>
      <c r="S36" s="23">
        <f>X64</f>
        <v>17891.344667143752</v>
      </c>
      <c r="U36" s="87" t="s">
        <v>150</v>
      </c>
      <c r="V36" s="87">
        <v>26</v>
      </c>
    </row>
    <row r="37" spans="1:28" x14ac:dyDescent="0.25">
      <c r="A37" s="1" t="s">
        <v>113</v>
      </c>
      <c r="F37" s="1" t="s">
        <v>114</v>
      </c>
      <c r="K37" s="1" t="s">
        <v>115</v>
      </c>
      <c r="P37" s="27" t="s">
        <v>1</v>
      </c>
      <c r="Q37" s="30">
        <f>Y65</f>
        <v>316.6013060781932</v>
      </c>
      <c r="R37" s="34">
        <f t="shared" ref="R37:R43" si="0">(Q37-S37)/S37</f>
        <v>-0.13601665329943113</v>
      </c>
      <c r="S37" s="23">
        <f>X65</f>
        <v>366.44375992575453</v>
      </c>
    </row>
    <row r="38" spans="1:28" x14ac:dyDescent="0.25">
      <c r="A38" s="28"/>
      <c r="B38" s="29" t="str">
        <f>Y45</f>
        <v>2013-09</v>
      </c>
      <c r="C38" s="33" t="s">
        <v>108</v>
      </c>
      <c r="D38" s="26" t="str">
        <f>M45</f>
        <v>2012-09</v>
      </c>
      <c r="F38" s="28"/>
      <c r="G38" s="29" t="str">
        <f>Y45</f>
        <v>2013-09</v>
      </c>
      <c r="H38" s="33" t="s">
        <v>108</v>
      </c>
      <c r="I38" s="26" t="str">
        <f>M45</f>
        <v>2012-09</v>
      </c>
      <c r="K38" s="28"/>
      <c r="L38" s="29" t="str">
        <f>Y45</f>
        <v>2013-09</v>
      </c>
      <c r="M38" s="33" t="s">
        <v>108</v>
      </c>
      <c r="N38" s="26" t="str">
        <f>M45</f>
        <v>2012-09</v>
      </c>
      <c r="P38" s="27" t="s">
        <v>2</v>
      </c>
      <c r="Q38" s="31">
        <f>Y66</f>
        <v>227356.5351186585</v>
      </c>
      <c r="R38" s="34">
        <f t="shared" si="0"/>
        <v>-0.65237962809964778</v>
      </c>
      <c r="S38" s="24">
        <f>X66</f>
        <v>654036.8559982779</v>
      </c>
    </row>
    <row r="39" spans="1:28" x14ac:dyDescent="0.25">
      <c r="A39" s="27" t="s">
        <v>0</v>
      </c>
      <c r="B39" s="30">
        <f>Y46</f>
        <v>29977.822343317737</v>
      </c>
      <c r="C39" s="34">
        <f>(B39-D39)/D39</f>
        <v>-0.15603033372659567</v>
      </c>
      <c r="D39" s="23">
        <f>M46</f>
        <v>35520.023457343559</v>
      </c>
      <c r="F39" s="27" t="s">
        <v>0</v>
      </c>
      <c r="G39" s="30">
        <f>Y58</f>
        <v>21490.637922366568</v>
      </c>
      <c r="H39" s="34">
        <f>(G39-I39)/I39</f>
        <v>-0.25434151425865842</v>
      </c>
      <c r="I39" s="23">
        <f>M58</f>
        <v>28821.019720576704</v>
      </c>
      <c r="K39" s="27" t="s">
        <v>0</v>
      </c>
      <c r="L39" s="30">
        <f>Y52</f>
        <v>18793.84640259976</v>
      </c>
      <c r="M39" s="34">
        <f>(L39-N39)/N39</f>
        <v>1.2252089949137375</v>
      </c>
      <c r="N39" s="23">
        <f>M52</f>
        <v>8445.8792165399827</v>
      </c>
      <c r="P39" s="27" t="s">
        <v>3</v>
      </c>
      <c r="Q39" s="32">
        <f>Q37/Q36</f>
        <v>2.4724975326919581E-2</v>
      </c>
      <c r="R39" s="34">
        <f t="shared" si="0"/>
        <v>0.20717857373303616</v>
      </c>
      <c r="S39" s="25">
        <f>S37/S36</f>
        <v>2.048162207722172E-2</v>
      </c>
    </row>
    <row r="40" spans="1:28" x14ac:dyDescent="0.25">
      <c r="A40" s="27" t="s">
        <v>1</v>
      </c>
      <c r="B40" s="30">
        <f>Y47</f>
        <v>715.6580880465624</v>
      </c>
      <c r="C40" s="34">
        <f t="shared" ref="C40:C43" si="1">(B40-D40)/D40</f>
        <v>0.13576983772008214</v>
      </c>
      <c r="D40" s="23">
        <f>M47</f>
        <v>630.1083760801024</v>
      </c>
      <c r="F40" s="27" t="s">
        <v>1</v>
      </c>
      <c r="G40" s="30">
        <f>Y59</f>
        <v>180.42862343396118</v>
      </c>
      <c r="H40" s="34">
        <f t="shared" ref="H40:H43" si="2">(G40-I40)/I40</f>
        <v>-0.36497765433347851</v>
      </c>
      <c r="I40" s="23">
        <f>M59</f>
        <v>284.12956593611318</v>
      </c>
      <c r="K40" s="27" t="s">
        <v>1</v>
      </c>
      <c r="L40" s="30">
        <f>Y53</f>
        <v>234.92141259915661</v>
      </c>
      <c r="M40" s="34">
        <f t="shared" ref="M40:M43" si="3">(L40-N40)/N40</f>
        <v>-9.5664770443987159E-3</v>
      </c>
      <c r="N40" s="23">
        <f>M53</f>
        <v>237.19048997666809</v>
      </c>
      <c r="P40" s="27" t="s">
        <v>125</v>
      </c>
      <c r="Q40" s="31">
        <f>Y68*V36</f>
        <v>34644.947552741811</v>
      </c>
      <c r="R40" s="34">
        <f t="shared" si="0"/>
        <v>-5.1483078588361264E-2</v>
      </c>
      <c r="S40" s="24">
        <f>X68*V36</f>
        <v>36525.386917906704</v>
      </c>
    </row>
    <row r="41" spans="1:28" x14ac:dyDescent="0.25">
      <c r="A41" s="27" t="s">
        <v>2</v>
      </c>
      <c r="B41" s="31">
        <f>Y48</f>
        <v>1079425.1525568196</v>
      </c>
      <c r="C41" s="34">
        <f t="shared" si="1"/>
        <v>9.0578164479075324E-2</v>
      </c>
      <c r="D41" s="24">
        <f>M48</f>
        <v>989773.30347744212</v>
      </c>
      <c r="F41" s="27" t="s">
        <v>2</v>
      </c>
      <c r="G41" s="31">
        <f>Y60</f>
        <v>380685.35207889689</v>
      </c>
      <c r="H41" s="34">
        <f t="shared" si="2"/>
        <v>-0.3541054207592445</v>
      </c>
      <c r="I41" s="24">
        <f>M60</f>
        <v>589392.39361071866</v>
      </c>
      <c r="K41" s="27" t="s">
        <v>2</v>
      </c>
      <c r="L41" s="31">
        <f>Y54</f>
        <v>210963.02599513953</v>
      </c>
      <c r="M41" s="34">
        <f t="shared" si="3"/>
        <v>-0.42651966556357762</v>
      </c>
      <c r="N41" s="24">
        <f>M54</f>
        <v>367864.44682965404</v>
      </c>
      <c r="P41" s="27" t="s">
        <v>142</v>
      </c>
      <c r="Q41" s="31">
        <f>Q40/Q37</f>
        <v>109.42768361222524</v>
      </c>
      <c r="R41" s="34">
        <f t="shared" si="0"/>
        <v>9.7841671409398867E-2</v>
      </c>
      <c r="S41" s="83">
        <f>S40/S37</f>
        <v>99.67528693982166</v>
      </c>
    </row>
    <row r="42" spans="1:28" x14ac:dyDescent="0.25">
      <c r="A42" s="27" t="s">
        <v>3</v>
      </c>
      <c r="B42" s="32">
        <f>B40/B39</f>
        <v>2.3872917780703558E-2</v>
      </c>
      <c r="C42" s="34">
        <f t="shared" si="1"/>
        <v>0.3457472265977734</v>
      </c>
      <c r="D42" s="25">
        <f>D40/D39</f>
        <v>1.7739525899717026E-2</v>
      </c>
      <c r="F42" s="27" t="s">
        <v>3</v>
      </c>
      <c r="G42" s="32">
        <f>G40/G39</f>
        <v>8.3956848598793123E-3</v>
      </c>
      <c r="H42" s="34">
        <f t="shared" si="2"/>
        <v>-0.14837374239069295</v>
      </c>
      <c r="I42" s="25">
        <f>I40/I39</f>
        <v>9.8584147504420013E-3</v>
      </c>
      <c r="K42" s="27" t="s">
        <v>3</v>
      </c>
      <c r="L42" s="32">
        <f>L40/L39</f>
        <v>1.2499911277696717E-2</v>
      </c>
      <c r="M42" s="34">
        <f t="shared" si="3"/>
        <v>-0.55490314607774782</v>
      </c>
      <c r="N42" s="25">
        <f>N40/N39</f>
        <v>2.8083575894877377E-2</v>
      </c>
      <c r="P42" s="27" t="s">
        <v>133</v>
      </c>
      <c r="Q42" s="32">
        <f>Q40/Q38</f>
        <v>0.15238157783615255</v>
      </c>
      <c r="R42" s="34">
        <f t="shared" si="0"/>
        <v>1.7285999270593311</v>
      </c>
      <c r="S42" s="25">
        <f>S40/S38</f>
        <v>5.5846068280291039E-2</v>
      </c>
    </row>
    <row r="43" spans="1:28" x14ac:dyDescent="0.25">
      <c r="A43" s="27" t="s">
        <v>156</v>
      </c>
      <c r="B43" s="31">
        <f>B41/B40</f>
        <v>1508.2972869113855</v>
      </c>
      <c r="C43" s="34">
        <f t="shared" si="1"/>
        <v>-3.9789464150345469E-2</v>
      </c>
      <c r="D43" s="24">
        <f>D41/D40</f>
        <v>1570.7985182403247</v>
      </c>
      <c r="F43" s="27" t="s">
        <v>156</v>
      </c>
      <c r="G43" s="31">
        <f>G41/G40</f>
        <v>2109.8944548464719</v>
      </c>
      <c r="H43" s="34">
        <f t="shared" si="2"/>
        <v>1.7121025186637405E-2</v>
      </c>
      <c r="I43" s="24">
        <f>I41/I40</f>
        <v>2074.3789604185158</v>
      </c>
      <c r="K43" s="27" t="s">
        <v>156</v>
      </c>
      <c r="L43" s="31">
        <f>L41/L40</f>
        <v>898.0153135512727</v>
      </c>
      <c r="M43" s="34">
        <f t="shared" si="3"/>
        <v>-0.42098048870047172</v>
      </c>
      <c r="N43" s="24">
        <f>N41/N40</f>
        <v>1550.9240984570674</v>
      </c>
      <c r="P43" s="27" t="s">
        <v>156</v>
      </c>
      <c r="Q43" s="31">
        <f>Q38/Q37</f>
        <v>718.11622616145087</v>
      </c>
      <c r="R43" s="34">
        <f t="shared" si="0"/>
        <v>-0.59765385151477091</v>
      </c>
      <c r="S43" s="24">
        <f>S38/S37</f>
        <v>1784.8219222802234</v>
      </c>
    </row>
    <row r="45" spans="1:28" x14ac:dyDescent="0.25">
      <c r="A45" s="2"/>
      <c r="B45" s="7" t="str">
        <f>'nastavit-mesic'!Z22</f>
        <v>2011-09</v>
      </c>
      <c r="C45" s="7" t="str">
        <f>'nastavit-mesic'!Y22</f>
        <v>2011-10</v>
      </c>
      <c r="D45" s="7" t="str">
        <f>'nastavit-mesic'!X22</f>
        <v>2011-11</v>
      </c>
      <c r="E45" s="7" t="str">
        <f>'nastavit-mesic'!W22</f>
        <v>2011-12</v>
      </c>
      <c r="F45" s="7" t="str">
        <f>'nastavit-mesic'!V22</f>
        <v>2012-01</v>
      </c>
      <c r="G45" s="7" t="str">
        <f>'nastavit-mesic'!U22</f>
        <v>2012-02</v>
      </c>
      <c r="H45" s="7" t="str">
        <f>'nastavit-mesic'!T22</f>
        <v>2012-03</v>
      </c>
      <c r="I45" s="7" t="str">
        <f>'nastavit-mesic'!S22</f>
        <v>2012-04</v>
      </c>
      <c r="J45" s="7" t="str">
        <f>'nastavit-mesic'!Q22</f>
        <v>2012-06</v>
      </c>
      <c r="K45" s="7" t="str">
        <f>'nastavit-mesic'!P22</f>
        <v>2012-07</v>
      </c>
      <c r="L45" s="7" t="str">
        <f>'nastavit-mesic'!O22</f>
        <v>2012-08</v>
      </c>
      <c r="M45" s="35" t="str">
        <f>'nastavit-mesic'!N22</f>
        <v>2012-09</v>
      </c>
      <c r="N45" s="7" t="str">
        <f>'nastavit-mesic'!M22</f>
        <v>2012-10</v>
      </c>
      <c r="O45" s="7" t="str">
        <f>'nastavit-mesic'!L22</f>
        <v>2012-11</v>
      </c>
      <c r="P45" s="7" t="str">
        <f>'nastavit-mesic'!K22</f>
        <v>2012-12</v>
      </c>
      <c r="Q45" s="7" t="str">
        <f>'nastavit-mesic'!J22</f>
        <v>2013-01</v>
      </c>
      <c r="R45" s="7" t="str">
        <f>'nastavit-mesic'!I22</f>
        <v>2013-02</v>
      </c>
      <c r="S45" s="7" t="str">
        <f>'nastavit-mesic'!H22</f>
        <v>2013-03</v>
      </c>
      <c r="T45" s="7" t="str">
        <f>'nastavit-mesic'!G22</f>
        <v>2013-04</v>
      </c>
      <c r="U45" s="7" t="str">
        <f>'nastavit-mesic'!F22</f>
        <v>2013-05</v>
      </c>
      <c r="V45" s="7" t="str">
        <f>'nastavit-mesic'!E22</f>
        <v>2013-06</v>
      </c>
      <c r="W45" s="7" t="str">
        <f>'nastavit-mesic'!D22</f>
        <v>2013-07</v>
      </c>
      <c r="X45" s="7" t="str">
        <f>'nastavit-mesic'!C22</f>
        <v>2013-08</v>
      </c>
      <c r="Y45" s="39" t="str">
        <f>'nastavit-mesic'!B22</f>
        <v>2013-09</v>
      </c>
      <c r="Z45" s="7"/>
      <c r="AA45" s="7"/>
      <c r="AB45" s="7"/>
    </row>
    <row r="46" spans="1:28" s="3" customFormat="1" x14ac:dyDescent="0.25">
      <c r="A46" s="3" t="str">
        <f>'nastavit-mesic'!A63</f>
        <v>direct - Návštěvy</v>
      </c>
      <c r="B46" s="3">
        <f>'nastavit-mesic'!Z63</f>
        <v>28584.255984475843</v>
      </c>
      <c r="C46" s="20">
        <f>'nastavit-mesic'!Y63</f>
        <v>27690.382954141427</v>
      </c>
      <c r="D46" s="20">
        <f>'nastavit-mesic'!X63</f>
        <v>37485.622691099939</v>
      </c>
      <c r="E46" s="20">
        <f>'nastavit-mesic'!W63</f>
        <v>61693.059162690603</v>
      </c>
      <c r="F46" s="20">
        <f>'nastavit-mesic'!V63</f>
        <v>37010.210431665568</v>
      </c>
      <c r="G46" s="20">
        <f>'nastavit-mesic'!U63</f>
        <v>41677.553856170867</v>
      </c>
      <c r="H46" s="20">
        <f>'nastavit-mesic'!T63</f>
        <v>35267.232822410799</v>
      </c>
      <c r="I46" s="20">
        <f>'nastavit-mesic'!S63</f>
        <v>28459.557524019419</v>
      </c>
      <c r="J46" s="20">
        <f>'nastavit-mesic'!Q63</f>
        <v>39017.671840262527</v>
      </c>
      <c r="K46" s="20">
        <f>'nastavit-mesic'!P63</f>
        <v>31653.75964817551</v>
      </c>
      <c r="L46" s="20">
        <f>'nastavit-mesic'!O63</f>
        <v>53661.645329335443</v>
      </c>
      <c r="M46" s="36">
        <f>'nastavit-mesic'!N63</f>
        <v>35520.023457343559</v>
      </c>
      <c r="N46" s="20">
        <f>'nastavit-mesic'!M63</f>
        <v>46239.190049573896</v>
      </c>
      <c r="O46" s="20">
        <f>'nastavit-mesic'!L63</f>
        <v>61203.80210407541</v>
      </c>
      <c r="P46" s="20">
        <f>'nastavit-mesic'!K63</f>
        <v>47354.202186662296</v>
      </c>
      <c r="Q46" s="20">
        <f>'nastavit-mesic'!J63</f>
        <v>40050.252231325067</v>
      </c>
      <c r="R46" s="20">
        <f>'nastavit-mesic'!I63</f>
        <v>23479.951959483606</v>
      </c>
      <c r="S46" s="20">
        <f>'nastavit-mesic'!H63</f>
        <v>40803.136011528943</v>
      </c>
      <c r="T46" s="20">
        <f>'nastavit-mesic'!G63</f>
        <v>38577.252259191817</v>
      </c>
      <c r="U46" s="20">
        <f>'nastavit-mesic'!F63</f>
        <v>26419.543210045984</v>
      </c>
      <c r="V46" s="20">
        <f>'nastavit-mesic'!E63</f>
        <v>45415.358291371464</v>
      </c>
      <c r="W46" s="20">
        <f>'nastavit-mesic'!D63</f>
        <v>49965.344312023182</v>
      </c>
      <c r="X46" s="20">
        <f>'nastavit-mesic'!C63</f>
        <v>48030.9818026172</v>
      </c>
      <c r="Y46" s="40">
        <f>'nastavit-mesic'!B63</f>
        <v>29977.822343317737</v>
      </c>
    </row>
    <row r="47" spans="1:28" s="3" customFormat="1" x14ac:dyDescent="0.25">
      <c r="A47" s="3" t="str">
        <f>'nastavit-mesic'!A64</f>
        <v>direct - Transakce</v>
      </c>
      <c r="B47" s="3">
        <f>'nastavit-mesic'!Z64</f>
        <v>610.30535919955958</v>
      </c>
      <c r="C47" s="20">
        <f>'nastavit-mesic'!Y64</f>
        <v>906.44811650133545</v>
      </c>
      <c r="D47" s="20">
        <f>'nastavit-mesic'!X64</f>
        <v>1487.5274383036256</v>
      </c>
      <c r="E47" s="20">
        <f>'nastavit-mesic'!W64</f>
        <v>1536.9033156433052</v>
      </c>
      <c r="F47" s="20">
        <f>'nastavit-mesic'!V64</f>
        <v>1135.0914268954371</v>
      </c>
      <c r="G47" s="20">
        <f>'nastavit-mesic'!U64</f>
        <v>926.56911322404744</v>
      </c>
      <c r="H47" s="20">
        <f>'nastavit-mesic'!T64</f>
        <v>568.49259501269069</v>
      </c>
      <c r="I47" s="20">
        <f>'nastavit-mesic'!S64</f>
        <v>928.59557677593716</v>
      </c>
      <c r="J47" s="20">
        <f>'nastavit-mesic'!Q64</f>
        <v>831.59976141362461</v>
      </c>
      <c r="K47" s="20">
        <f>'nastavit-mesic'!P64</f>
        <v>763.58056529518126</v>
      </c>
      <c r="L47" s="20">
        <f>'nastavit-mesic'!O64</f>
        <v>932.66743644835321</v>
      </c>
      <c r="M47" s="36">
        <f>'nastavit-mesic'!N64</f>
        <v>630.1083760801024</v>
      </c>
      <c r="N47" s="20">
        <f>'nastavit-mesic'!M64</f>
        <v>1197.0716727956242</v>
      </c>
      <c r="O47" s="20">
        <f>'nastavit-mesic'!L64</f>
        <v>780.02169650927885</v>
      </c>
      <c r="P47" s="20">
        <f>'nastavit-mesic'!K64</f>
        <v>1137.8140997938167</v>
      </c>
      <c r="Q47" s="20">
        <f>'nastavit-mesic'!J64</f>
        <v>795.94366933213064</v>
      </c>
      <c r="R47" s="20">
        <f>'nastavit-mesic'!I64</f>
        <v>961.7206574603108</v>
      </c>
      <c r="S47" s="20">
        <f>'nastavit-mesic'!H64</f>
        <v>587.45989156276937</v>
      </c>
      <c r="T47" s="20">
        <f>'nastavit-mesic'!G64</f>
        <v>841.77320705967952</v>
      </c>
      <c r="U47" s="20">
        <f>'nastavit-mesic'!F64</f>
        <v>903.82194591094333</v>
      </c>
      <c r="V47" s="20">
        <f>'nastavit-mesic'!E64</f>
        <v>627.58878508923283</v>
      </c>
      <c r="W47" s="20">
        <f>'nastavit-mesic'!D64</f>
        <v>817.3316475492627</v>
      </c>
      <c r="X47" s="20">
        <f>'nastavit-mesic'!C64</f>
        <v>587.67185038656658</v>
      </c>
      <c r="Y47" s="40">
        <f>'nastavit-mesic'!B64</f>
        <v>715.6580880465624</v>
      </c>
    </row>
    <row r="48" spans="1:28" s="19" customFormat="1" x14ac:dyDescent="0.25">
      <c r="A48" s="19" t="str">
        <f>'nastavit-mesic'!A65</f>
        <v>direct - Obrat</v>
      </c>
      <c r="B48" s="19">
        <f>'nastavit-mesic'!Z65</f>
        <v>847458.2593162047</v>
      </c>
      <c r="C48" s="21">
        <f>'nastavit-mesic'!Y65</f>
        <v>1097963.6856911061</v>
      </c>
      <c r="D48" s="21">
        <f>'nastavit-mesic'!X65</f>
        <v>1530514.6527246123</v>
      </c>
      <c r="E48" s="21">
        <f>'nastavit-mesic'!W65</f>
        <v>1402372.09854566</v>
      </c>
      <c r="F48" s="21">
        <f>'nastavit-mesic'!V65</f>
        <v>1282931.2227661039</v>
      </c>
      <c r="G48" s="21">
        <f>'nastavit-mesic'!U65</f>
        <v>1551517.8641526366</v>
      </c>
      <c r="H48" s="21">
        <f>'nastavit-mesic'!T65</f>
        <v>1892207.5955319852</v>
      </c>
      <c r="I48" s="21">
        <f>'nastavit-mesic'!S65</f>
        <v>1646781.0057114449</v>
      </c>
      <c r="J48" s="21">
        <f>'nastavit-mesic'!Q65</f>
        <v>1631867.1225628429</v>
      </c>
      <c r="K48" s="21">
        <f>'nastavit-mesic'!P65</f>
        <v>1552038.7658520038</v>
      </c>
      <c r="L48" s="21">
        <f>'nastavit-mesic'!O65</f>
        <v>1605412.9840606416</v>
      </c>
      <c r="M48" s="37">
        <f>'nastavit-mesic'!N65</f>
        <v>989773.30347744212</v>
      </c>
      <c r="N48" s="21">
        <f>'nastavit-mesic'!M65</f>
        <v>1403955.186517444</v>
      </c>
      <c r="O48" s="21">
        <f>'nastavit-mesic'!L65</f>
        <v>1747658.6191743675</v>
      </c>
      <c r="P48" s="21">
        <f>'nastavit-mesic'!K65</f>
        <v>1917909.9105812092</v>
      </c>
      <c r="Q48" s="21">
        <f>'nastavit-mesic'!J65</f>
        <v>1143788.2150257111</v>
      </c>
      <c r="R48" s="21">
        <f>'nastavit-mesic'!I65</f>
        <v>1193783.9058953815</v>
      </c>
      <c r="S48" s="21">
        <f>'nastavit-mesic'!H65</f>
        <v>1430259.9836647462</v>
      </c>
      <c r="T48" s="21">
        <f>'nastavit-mesic'!G65</f>
        <v>1291373.2651184814</v>
      </c>
      <c r="U48" s="21">
        <f>'nastavit-mesic'!F65</f>
        <v>1017360.1608927326</v>
      </c>
      <c r="V48" s="21">
        <f>'nastavit-mesic'!E65</f>
        <v>1248265.3209859221</v>
      </c>
      <c r="W48" s="21">
        <f>'nastavit-mesic'!D65</f>
        <v>1956408.935106318</v>
      </c>
      <c r="X48" s="21">
        <f>'nastavit-mesic'!C65</f>
        <v>1705849.3370798277</v>
      </c>
      <c r="Y48" s="41">
        <f>'nastavit-mesic'!B65</f>
        <v>1079425.1525568196</v>
      </c>
    </row>
    <row r="49" spans="1:25" s="5" customFormat="1" x14ac:dyDescent="0.25">
      <c r="A49" s="5" t="str">
        <f>'nastavit-mesic'!A66</f>
        <v>direct - KP</v>
      </c>
      <c r="B49" s="5">
        <f>'nastavit-mesic'!Z66</f>
        <v>2.1351101792924657E-2</v>
      </c>
      <c r="C49" s="22">
        <f>'nastavit-mesic'!Y66</f>
        <v>3.2735123887687706E-2</v>
      </c>
      <c r="D49" s="22">
        <f>'nastavit-mesic'!X66</f>
        <v>3.9682612466160345E-2</v>
      </c>
      <c r="E49" s="22">
        <f>'nastavit-mesic'!W66</f>
        <v>2.4912094431730831E-2</v>
      </c>
      <c r="F49" s="22">
        <f>'nastavit-mesic'!V66</f>
        <v>3.0669683140311575E-2</v>
      </c>
      <c r="G49" s="22">
        <f>'nastavit-mesic'!U66</f>
        <v>2.2231849700719845E-2</v>
      </c>
      <c r="H49" s="22">
        <f>'nastavit-mesic'!T66</f>
        <v>1.6119569059340495E-2</v>
      </c>
      <c r="I49" s="22">
        <f>'nastavit-mesic'!S66</f>
        <v>3.2628602043170106E-2</v>
      </c>
      <c r="J49" s="22">
        <f>'nastavit-mesic'!Q66</f>
        <v>2.1313413184112454E-2</v>
      </c>
      <c r="K49" s="22">
        <f>'nastavit-mesic'!P66</f>
        <v>2.4122902738322689E-2</v>
      </c>
      <c r="L49" s="22">
        <f>'nastavit-mesic'!O66</f>
        <v>1.7380522545000832E-2</v>
      </c>
      <c r="M49" s="38">
        <f>'nastavit-mesic'!N66</f>
        <v>1.7739525899717026E-2</v>
      </c>
      <c r="N49" s="22">
        <f>'nastavit-mesic'!M66</f>
        <v>2.5888681689973839E-2</v>
      </c>
      <c r="O49" s="22">
        <f>'nastavit-mesic'!L66</f>
        <v>1.2744660784028958E-2</v>
      </c>
      <c r="P49" s="22">
        <f>'nastavit-mesic'!K66</f>
        <v>2.4027732434573495E-2</v>
      </c>
      <c r="Q49" s="22">
        <f>'nastavit-mesic'!J66</f>
        <v>1.9873624384057886E-2</v>
      </c>
      <c r="R49" s="22">
        <f>'nastavit-mesic'!I66</f>
        <v>4.0959225943895922E-2</v>
      </c>
      <c r="S49" s="22">
        <f>'nastavit-mesic'!H66</f>
        <v>1.4397420124688023E-2</v>
      </c>
      <c r="T49" s="22">
        <f>'nastavit-mesic'!G66</f>
        <v>2.1820455262183944E-2</v>
      </c>
      <c r="U49" s="22">
        <f>'nastavit-mesic'!F66</f>
        <v>3.4210354763713959E-2</v>
      </c>
      <c r="V49" s="22">
        <f>'nastavit-mesic'!E66</f>
        <v>1.3818866760068464E-2</v>
      </c>
      <c r="W49" s="22">
        <f>'nastavit-mesic'!D66</f>
        <v>1.6357970885684216E-2</v>
      </c>
      <c r="X49" s="22">
        <f>'nastavit-mesic'!C66</f>
        <v>1.2235266245474592E-2</v>
      </c>
      <c r="Y49" s="42">
        <f>'nastavit-mesic'!B66</f>
        <v>2.3872917780703558E-2</v>
      </c>
    </row>
    <row r="50" spans="1:25" x14ac:dyDescent="0.25">
      <c r="A50" s="5" t="s">
        <v>168</v>
      </c>
      <c r="B50" s="19">
        <f t="shared" ref="B50:Y50" si="4">B48/B47</f>
        <v>1388.5807269129684</v>
      </c>
      <c r="C50" s="19">
        <f t="shared" si="4"/>
        <v>1211.2813361331405</v>
      </c>
      <c r="D50" s="19">
        <f t="shared" si="4"/>
        <v>1028.8984346198072</v>
      </c>
      <c r="E50" s="19">
        <f t="shared" si="4"/>
        <v>912.46605057824729</v>
      </c>
      <c r="F50" s="19">
        <f t="shared" si="4"/>
        <v>1130.2448352332465</v>
      </c>
      <c r="G50" s="19">
        <f t="shared" si="4"/>
        <v>1674.4761313638505</v>
      </c>
      <c r="H50" s="19">
        <f t="shared" si="4"/>
        <v>3328.4648069861751</v>
      </c>
      <c r="I50" s="19">
        <f t="shared" si="4"/>
        <v>1773.4103488076385</v>
      </c>
      <c r="J50" s="19">
        <f t="shared" si="4"/>
        <v>1962.3227401951815</v>
      </c>
      <c r="K50" s="19">
        <f t="shared" si="4"/>
        <v>2032.5802363134062</v>
      </c>
      <c r="L50" s="19">
        <f t="shared" si="4"/>
        <v>1721.3134299768617</v>
      </c>
      <c r="M50" s="73">
        <f t="shared" si="4"/>
        <v>1570.7985182403247</v>
      </c>
      <c r="N50" s="19">
        <f t="shared" si="4"/>
        <v>1172.8246674141633</v>
      </c>
      <c r="O50" s="19">
        <f t="shared" si="4"/>
        <v>2240.525650754867</v>
      </c>
      <c r="P50" s="19">
        <f t="shared" si="4"/>
        <v>1685.6091965539483</v>
      </c>
      <c r="Q50" s="19">
        <f t="shared" si="4"/>
        <v>1437.0215620729214</v>
      </c>
      <c r="R50" s="19">
        <f t="shared" si="4"/>
        <v>1241.3000559308955</v>
      </c>
      <c r="S50" s="19">
        <f t="shared" si="4"/>
        <v>2434.6512914438254</v>
      </c>
      <c r="T50" s="19">
        <f t="shared" si="4"/>
        <v>1534.1106776601484</v>
      </c>
      <c r="U50" s="19">
        <f t="shared" si="4"/>
        <v>1125.6201130050636</v>
      </c>
      <c r="V50" s="19">
        <f t="shared" si="4"/>
        <v>1988.9860218079571</v>
      </c>
      <c r="W50" s="19">
        <f t="shared" si="4"/>
        <v>2393.6537156887716</v>
      </c>
      <c r="X50" s="19">
        <f t="shared" si="4"/>
        <v>2902.724260074277</v>
      </c>
      <c r="Y50" s="75">
        <f t="shared" si="4"/>
        <v>1508.2972869113855</v>
      </c>
    </row>
    <row r="51" spans="1:25" s="3" customFormat="1" x14ac:dyDescent="0.25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36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40"/>
    </row>
    <row r="52" spans="1:25" s="3" customFormat="1" x14ac:dyDescent="0.25">
      <c r="A52" s="3" t="str">
        <f>'nastavit-mesic'!A85</f>
        <v>massmail - Návštěvy</v>
      </c>
      <c r="B52" s="3">
        <f>'nastavit-mesic'!Z85</f>
        <v>12327.664006963312</v>
      </c>
      <c r="C52" s="20">
        <f>'nastavit-mesic'!Y85</f>
        <v>7216.2251499658405</v>
      </c>
      <c r="D52" s="20">
        <f>'nastavit-mesic'!X85</f>
        <v>31600.73266978659</v>
      </c>
      <c r="E52" s="20">
        <f>'nastavit-mesic'!W85</f>
        <v>17940.773447547534</v>
      </c>
      <c r="F52" s="20">
        <f>'nastavit-mesic'!V85</f>
        <v>22139.884437094017</v>
      </c>
      <c r="G52" s="20">
        <f>'nastavit-mesic'!U85</f>
        <v>10645.168677871547</v>
      </c>
      <c r="H52" s="20">
        <f>'nastavit-mesic'!T85</f>
        <v>4385.4945732518945</v>
      </c>
      <c r="I52" s="20">
        <f>'nastavit-mesic'!S85</f>
        <v>11361.202161355293</v>
      </c>
      <c r="J52" s="20">
        <f>'nastavit-mesic'!Q85</f>
        <v>33484.187769470234</v>
      </c>
      <c r="K52" s="20">
        <f>'nastavit-mesic'!P85</f>
        <v>19762.312955148052</v>
      </c>
      <c r="L52" s="20">
        <f>'nastavit-mesic'!O85</f>
        <v>7074.5301366691647</v>
      </c>
      <c r="M52" s="36">
        <f>'nastavit-mesic'!N85</f>
        <v>8445.8792165399827</v>
      </c>
      <c r="N52" s="20">
        <f>'nastavit-mesic'!M85</f>
        <v>9235.1564651480548</v>
      </c>
      <c r="O52" s="20">
        <f>'nastavit-mesic'!L85</f>
        <v>41000.570072374889</v>
      </c>
      <c r="P52" s="20">
        <f>'nastavit-mesic'!K85</f>
        <v>30069.363528783462</v>
      </c>
      <c r="Q52" s="20">
        <f>'nastavit-mesic'!J85</f>
        <v>28521.089034146233</v>
      </c>
      <c r="R52" s="20">
        <f>'nastavit-mesic'!I85</f>
        <v>15032.704874484027</v>
      </c>
      <c r="S52" s="20">
        <f>'nastavit-mesic'!H85</f>
        <v>5301.5204558602672</v>
      </c>
      <c r="T52" s="20">
        <f>'nastavit-mesic'!G85</f>
        <v>23525.112917673232</v>
      </c>
      <c r="U52" s="20">
        <f>'nastavit-mesic'!F85</f>
        <v>8136.3129005756173</v>
      </c>
      <c r="V52" s="20">
        <f>'nastavit-mesic'!E85</f>
        <v>26073.192034503838</v>
      </c>
      <c r="W52" s="20">
        <f>'nastavit-mesic'!D85</f>
        <v>36834.952083391552</v>
      </c>
      <c r="X52" s="20">
        <f>'nastavit-mesic'!C85</f>
        <v>22787.702388508671</v>
      </c>
      <c r="Y52" s="40">
        <f>'nastavit-mesic'!B85</f>
        <v>18793.84640259976</v>
      </c>
    </row>
    <row r="53" spans="1:25" s="19" customFormat="1" x14ac:dyDescent="0.25">
      <c r="A53" s="3" t="str">
        <f>'nastavit-mesic'!A86</f>
        <v>massmail - Transakce</v>
      </c>
      <c r="B53" s="3">
        <f>'nastavit-mesic'!Z86</f>
        <v>230.09293928859992</v>
      </c>
      <c r="C53" s="20">
        <f>'nastavit-mesic'!Y86</f>
        <v>257.44127729303392</v>
      </c>
      <c r="D53" s="20">
        <f>'nastavit-mesic'!X86</f>
        <v>154.89466227898643</v>
      </c>
      <c r="E53" s="20">
        <f>'nastavit-mesic'!W86</f>
        <v>478.50629391820644</v>
      </c>
      <c r="F53" s="20">
        <f>'nastavit-mesic'!V86</f>
        <v>423.32279510743751</v>
      </c>
      <c r="G53" s="20">
        <f>'nastavit-mesic'!U86</f>
        <v>218.00653859075274</v>
      </c>
      <c r="H53" s="20">
        <f>'nastavit-mesic'!T86</f>
        <v>144.54430444161821</v>
      </c>
      <c r="I53" s="20">
        <f>'nastavit-mesic'!S86</f>
        <v>123.4807414773572</v>
      </c>
      <c r="J53" s="20">
        <f>'nastavit-mesic'!Q86</f>
        <v>382.6058632701816</v>
      </c>
      <c r="K53" s="20">
        <f>'nastavit-mesic'!P86</f>
        <v>758.56713866997393</v>
      </c>
      <c r="L53" s="20">
        <f>'nastavit-mesic'!O86</f>
        <v>246.27125225053464</v>
      </c>
      <c r="M53" s="36">
        <f>'nastavit-mesic'!N86</f>
        <v>237.19048997666809</v>
      </c>
      <c r="N53" s="20">
        <f>'nastavit-mesic'!M86</f>
        <v>268.24209416333889</v>
      </c>
      <c r="O53" s="20">
        <f>'nastavit-mesic'!L86</f>
        <v>609.0425787423934</v>
      </c>
      <c r="P53" s="20">
        <f>'nastavit-mesic'!K86</f>
        <v>703.39133431963353</v>
      </c>
      <c r="Q53" s="20">
        <f>'nastavit-mesic'!J86</f>
        <v>468.24671447728247</v>
      </c>
      <c r="R53" s="20">
        <f>'nastavit-mesic'!I86</f>
        <v>240.75136072805623</v>
      </c>
      <c r="S53" s="20">
        <f>'nastavit-mesic'!H86</f>
        <v>123.16496147445095</v>
      </c>
      <c r="T53" s="20">
        <f>'nastavit-mesic'!G86</f>
        <v>452.29005459135772</v>
      </c>
      <c r="U53" s="20">
        <f>'nastavit-mesic'!F86</f>
        <v>161.8882608512688</v>
      </c>
      <c r="V53" s="20">
        <f>'nastavit-mesic'!E86</f>
        <v>244.664323700024</v>
      </c>
      <c r="W53" s="20">
        <f>'nastavit-mesic'!D86</f>
        <v>725.21636687646833</v>
      </c>
      <c r="X53" s="20">
        <f>'nastavit-mesic'!C86</f>
        <v>335.20466471698171</v>
      </c>
      <c r="Y53" s="40">
        <f>'nastavit-mesic'!B86</f>
        <v>234.92141259915661</v>
      </c>
    </row>
    <row r="54" spans="1:25" s="5" customFormat="1" x14ac:dyDescent="0.25">
      <c r="A54" s="19" t="str">
        <f>'nastavit-mesic'!A87</f>
        <v>massmail - Obrat</v>
      </c>
      <c r="B54" s="19">
        <f>'nastavit-mesic'!Z87</f>
        <v>449472.62441773701</v>
      </c>
      <c r="C54" s="21">
        <f>'nastavit-mesic'!Y87</f>
        <v>382138.05262530589</v>
      </c>
      <c r="D54" s="21">
        <f>'nastavit-mesic'!X87</f>
        <v>175194.82356502919</v>
      </c>
      <c r="E54" s="21">
        <f>'nastavit-mesic'!W87</f>
        <v>390347.08526002226</v>
      </c>
      <c r="F54" s="21">
        <f>'nastavit-mesic'!V87</f>
        <v>575842.45165432745</v>
      </c>
      <c r="G54" s="21">
        <f>'nastavit-mesic'!U87</f>
        <v>265897.35466991307</v>
      </c>
      <c r="H54" s="21">
        <f>'nastavit-mesic'!T87</f>
        <v>185853.99764931103</v>
      </c>
      <c r="I54" s="21">
        <f>'nastavit-mesic'!S87</f>
        <v>180721.39294793282</v>
      </c>
      <c r="J54" s="21">
        <f>'nastavit-mesic'!Q87</f>
        <v>367290.4175423698</v>
      </c>
      <c r="K54" s="21">
        <f>'nastavit-mesic'!P87</f>
        <v>388850.52349849482</v>
      </c>
      <c r="L54" s="21">
        <f>'nastavit-mesic'!O87</f>
        <v>281980.57295975502</v>
      </c>
      <c r="M54" s="37">
        <f>'nastavit-mesic'!N87</f>
        <v>367864.44682965404</v>
      </c>
      <c r="N54" s="21">
        <f>'nastavit-mesic'!M87</f>
        <v>269138.74315253517</v>
      </c>
      <c r="O54" s="21">
        <f>'nastavit-mesic'!L87</f>
        <v>537438.38694456907</v>
      </c>
      <c r="P54" s="21">
        <f>'nastavit-mesic'!K87</f>
        <v>690214.37368807895</v>
      </c>
      <c r="Q54" s="21">
        <f>'nastavit-mesic'!J87</f>
        <v>497745.89646154025</v>
      </c>
      <c r="R54" s="21">
        <f>'nastavit-mesic'!I87</f>
        <v>222622.5511099865</v>
      </c>
      <c r="S54" s="21">
        <f>'nastavit-mesic'!H87</f>
        <v>253688.0040298118</v>
      </c>
      <c r="T54" s="21">
        <f>'nastavit-mesic'!G87</f>
        <v>695506.49123334186</v>
      </c>
      <c r="U54" s="21">
        <f>'nastavit-mesic'!F87</f>
        <v>221054.01880804036</v>
      </c>
      <c r="V54" s="21">
        <f>'nastavit-mesic'!E87</f>
        <v>364691.42106532655</v>
      </c>
      <c r="W54" s="21">
        <f>'nastavit-mesic'!D87</f>
        <v>966865.89220894605</v>
      </c>
      <c r="X54" s="21">
        <f>'nastavit-mesic'!C87</f>
        <v>316456.84693050833</v>
      </c>
      <c r="Y54" s="41">
        <f>'nastavit-mesic'!B87</f>
        <v>210963.02599513953</v>
      </c>
    </row>
    <row r="55" spans="1:25" s="3" customFormat="1" x14ac:dyDescent="0.25">
      <c r="A55" s="5" t="str">
        <f>'nastavit-mesic'!A88</f>
        <v>massmail - KP</v>
      </c>
      <c r="B55" s="5">
        <f>'nastavit-mesic'!Z88</f>
        <v>1.8664763994105563E-2</v>
      </c>
      <c r="C55" s="22">
        <f>'nastavit-mesic'!Y88</f>
        <v>3.5675338829228818E-2</v>
      </c>
      <c r="D55" s="22">
        <f>'nastavit-mesic'!X88</f>
        <v>4.9016161712946921E-3</v>
      </c>
      <c r="E55" s="22">
        <f>'nastavit-mesic'!W88</f>
        <v>2.6671441747881681E-2</v>
      </c>
      <c r="F55" s="22">
        <f>'nastavit-mesic'!V88</f>
        <v>1.9120370583244155E-2</v>
      </c>
      <c r="G55" s="22">
        <f>'nastavit-mesic'!U88</f>
        <v>2.0479387897716448E-2</v>
      </c>
      <c r="H55" s="22">
        <f>'nastavit-mesic'!T88</f>
        <v>3.2959635915006266E-2</v>
      </c>
      <c r="I55" s="22">
        <f>'nastavit-mesic'!S88</f>
        <v>1.0868633417806115E-2</v>
      </c>
      <c r="J55" s="22">
        <f>'nastavit-mesic'!Q88</f>
        <v>1.142646391497747E-2</v>
      </c>
      <c r="K55" s="22">
        <f>'nastavit-mesic'!P88</f>
        <v>3.8384532235249735E-2</v>
      </c>
      <c r="L55" s="22">
        <f>'nastavit-mesic'!O88</f>
        <v>3.4810969420293436E-2</v>
      </c>
      <c r="M55" s="38">
        <f>'nastavit-mesic'!N88</f>
        <v>2.8083575894877377E-2</v>
      </c>
      <c r="N55" s="22">
        <f>'nastavit-mesic'!M88</f>
        <v>2.9045755226307205E-2</v>
      </c>
      <c r="O55" s="22">
        <f>'nastavit-mesic'!L88</f>
        <v>1.4854490502627191E-2</v>
      </c>
      <c r="P55" s="22">
        <f>'nastavit-mesic'!K88</f>
        <v>2.3392292079821457E-2</v>
      </c>
      <c r="Q55" s="22">
        <f>'nastavit-mesic'!J88</f>
        <v>1.6417560841266776E-2</v>
      </c>
      <c r="R55" s="22">
        <f>'nastavit-mesic'!I88</f>
        <v>1.6015172434915483E-2</v>
      </c>
      <c r="S55" s="22">
        <f>'nastavit-mesic'!H88</f>
        <v>2.3232007213761702E-2</v>
      </c>
      <c r="T55" s="22">
        <f>'nastavit-mesic'!G88</f>
        <v>1.922583990028694E-2</v>
      </c>
      <c r="U55" s="22">
        <f>'nastavit-mesic'!F88</f>
        <v>1.9897005293370136E-2</v>
      </c>
      <c r="V55" s="22">
        <f>'nastavit-mesic'!E88</f>
        <v>9.383750304767003E-3</v>
      </c>
      <c r="W55" s="22">
        <f>'nastavit-mesic'!D88</f>
        <v>1.9688266873121845E-2</v>
      </c>
      <c r="X55" s="22">
        <f>'nastavit-mesic'!C88</f>
        <v>1.4709893038010622E-2</v>
      </c>
      <c r="Y55" s="42">
        <f>'nastavit-mesic'!B88</f>
        <v>1.2499911277696717E-2</v>
      </c>
    </row>
    <row r="56" spans="1:25" x14ac:dyDescent="0.25">
      <c r="A56" s="5" t="s">
        <v>169</v>
      </c>
      <c r="B56" s="19">
        <f t="shared" ref="B56:Y56" si="5">B54/B53</f>
        <v>1953.4394484568452</v>
      </c>
      <c r="C56" s="19">
        <f t="shared" si="5"/>
        <v>1484.3697818914065</v>
      </c>
      <c r="D56" s="19">
        <f t="shared" si="5"/>
        <v>1131.057849169001</v>
      </c>
      <c r="E56" s="19">
        <f t="shared" si="5"/>
        <v>815.76165292142696</v>
      </c>
      <c r="F56" s="19">
        <f t="shared" si="5"/>
        <v>1360.29162216077</v>
      </c>
      <c r="G56" s="19">
        <f t="shared" si="5"/>
        <v>1219.6760537034265</v>
      </c>
      <c r="H56" s="19">
        <f t="shared" si="5"/>
        <v>1285.7926043317598</v>
      </c>
      <c r="I56" s="19">
        <f t="shared" si="5"/>
        <v>1463.5593436331276</v>
      </c>
      <c r="J56" s="19">
        <f t="shared" si="5"/>
        <v>959.97069779091021</v>
      </c>
      <c r="K56" s="19">
        <f t="shared" si="5"/>
        <v>512.61187530517338</v>
      </c>
      <c r="L56" s="19">
        <f t="shared" si="5"/>
        <v>1144.9999558734239</v>
      </c>
      <c r="M56" s="73">
        <f t="shared" si="5"/>
        <v>1550.9240984570674</v>
      </c>
      <c r="N56" s="19">
        <f t="shared" si="5"/>
        <v>1003.342685613878</v>
      </c>
      <c r="O56" s="19">
        <f t="shared" si="5"/>
        <v>882.43155027735634</v>
      </c>
      <c r="P56" s="19">
        <f t="shared" si="5"/>
        <v>981.26652975572949</v>
      </c>
      <c r="Q56" s="19">
        <f t="shared" si="5"/>
        <v>1062.9992289795105</v>
      </c>
      <c r="R56" s="19">
        <f t="shared" si="5"/>
        <v>924.69903570535848</v>
      </c>
      <c r="S56" s="19">
        <f t="shared" si="5"/>
        <v>2059.7416748466749</v>
      </c>
      <c r="T56" s="19">
        <f t="shared" si="5"/>
        <v>1537.7443836604571</v>
      </c>
      <c r="U56" s="19">
        <f t="shared" si="5"/>
        <v>1365.4728122079757</v>
      </c>
      <c r="V56" s="19">
        <f t="shared" si="5"/>
        <v>1490.5786652918976</v>
      </c>
      <c r="W56" s="19">
        <f t="shared" si="5"/>
        <v>1333.2102478233778</v>
      </c>
      <c r="X56" s="19">
        <f t="shared" si="5"/>
        <v>944.07053433369595</v>
      </c>
      <c r="Y56" s="75">
        <f t="shared" si="5"/>
        <v>898.0153135512727</v>
      </c>
    </row>
    <row r="57" spans="1:25" s="3" customFormat="1" x14ac:dyDescent="0.25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36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40"/>
    </row>
    <row r="58" spans="1:25" s="19" customFormat="1" x14ac:dyDescent="0.25">
      <c r="A58" s="3" t="str">
        <f>'nastavit-mesic'!A90</f>
        <v>referral - Návštěvy</v>
      </c>
      <c r="B58" s="3">
        <f>'nastavit-mesic'!Z90</f>
        <v>31069.247355513631</v>
      </c>
      <c r="C58" s="20">
        <f>'nastavit-mesic'!Y90</f>
        <v>71311.918255443539</v>
      </c>
      <c r="D58" s="20">
        <f>'nastavit-mesic'!X90</f>
        <v>36338.71642555904</v>
      </c>
      <c r="E58" s="20">
        <f>'nastavit-mesic'!W90</f>
        <v>77470.338497748977</v>
      </c>
      <c r="F58" s="20">
        <f>'nastavit-mesic'!V90</f>
        <v>57569.468059129758</v>
      </c>
      <c r="G58" s="20">
        <f>'nastavit-mesic'!U90</f>
        <v>43252.298124434186</v>
      </c>
      <c r="H58" s="20">
        <f>'nastavit-mesic'!T90</f>
        <v>48671.333536035643</v>
      </c>
      <c r="I58" s="20">
        <f>'nastavit-mesic'!S90</f>
        <v>49798.051188657169</v>
      </c>
      <c r="J58" s="20">
        <f>'nastavit-mesic'!Q90</f>
        <v>43164.894123769198</v>
      </c>
      <c r="K58" s="20">
        <f>'nastavit-mesic'!P90</f>
        <v>27051.12083325471</v>
      </c>
      <c r="L58" s="20">
        <f>'nastavit-mesic'!O90</f>
        <v>22305.048053376115</v>
      </c>
      <c r="M58" s="36">
        <f>'nastavit-mesic'!N90</f>
        <v>28821.019720576704</v>
      </c>
      <c r="N58" s="20">
        <f>'nastavit-mesic'!M90</f>
        <v>61869.717307270796</v>
      </c>
      <c r="O58" s="20">
        <f>'nastavit-mesic'!L90</f>
        <v>45459.01358747964</v>
      </c>
      <c r="P58" s="20">
        <f>'nastavit-mesic'!K90</f>
        <v>52086.904454532036</v>
      </c>
      <c r="Q58" s="20">
        <f>'nastavit-mesic'!J90</f>
        <v>58261.373448069353</v>
      </c>
      <c r="R58" s="20">
        <f>'nastavit-mesic'!I90</f>
        <v>21162.93462439251</v>
      </c>
      <c r="S58" s="20">
        <f>'nastavit-mesic'!H90</f>
        <v>31541.838999351949</v>
      </c>
      <c r="T58" s="20">
        <f>'nastavit-mesic'!G90</f>
        <v>27561.265142519718</v>
      </c>
      <c r="U58" s="20">
        <f>'nastavit-mesic'!F90</f>
        <v>26147.82619014693</v>
      </c>
      <c r="V58" s="20">
        <f>'nastavit-mesic'!E90</f>
        <v>17205.480499437828</v>
      </c>
      <c r="W58" s="20">
        <f>'nastavit-mesic'!D90</f>
        <v>25381.163751351902</v>
      </c>
      <c r="X58" s="20">
        <f>'nastavit-mesic'!C90</f>
        <v>17225.168200363525</v>
      </c>
      <c r="Y58" s="40">
        <f>'nastavit-mesic'!B90</f>
        <v>21490.637922366568</v>
      </c>
    </row>
    <row r="59" spans="1:25" s="5" customFormat="1" x14ac:dyDescent="0.25">
      <c r="A59" s="3" t="str">
        <f>'nastavit-mesic'!A91</f>
        <v>referral - Transakce</v>
      </c>
      <c r="B59" s="3">
        <f>'nastavit-mesic'!Z91</f>
        <v>265.95624267577028</v>
      </c>
      <c r="C59" s="20">
        <f>'nastavit-mesic'!Y91</f>
        <v>2037.404637585875</v>
      </c>
      <c r="D59" s="20">
        <f>'nastavit-mesic'!X91</f>
        <v>641.6487227649443</v>
      </c>
      <c r="E59" s="20">
        <f>'nastavit-mesic'!W91</f>
        <v>793.42624222376401</v>
      </c>
      <c r="F59" s="20">
        <f>'nastavit-mesic'!V91</f>
        <v>282.75966658679732</v>
      </c>
      <c r="G59" s="20">
        <f>'nastavit-mesic'!U91</f>
        <v>403.87557360983959</v>
      </c>
      <c r="H59" s="20">
        <f>'nastavit-mesic'!T91</f>
        <v>636.38389417449503</v>
      </c>
      <c r="I59" s="20">
        <f>'nastavit-mesic'!S91</f>
        <v>505.95670190410112</v>
      </c>
      <c r="J59" s="20">
        <f>'nastavit-mesic'!Q91</f>
        <v>383.63483318987375</v>
      </c>
      <c r="K59" s="20">
        <f>'nastavit-mesic'!P91</f>
        <v>446.76828391499083</v>
      </c>
      <c r="L59" s="20">
        <f>'nastavit-mesic'!O91</f>
        <v>444.2583050938311</v>
      </c>
      <c r="M59" s="36">
        <f>'nastavit-mesic'!N91</f>
        <v>284.12956593611318</v>
      </c>
      <c r="N59" s="20">
        <f>'nastavit-mesic'!M91</f>
        <v>1901.9238995784187</v>
      </c>
      <c r="O59" s="20">
        <f>'nastavit-mesic'!L91</f>
        <v>655.37150636443607</v>
      </c>
      <c r="P59" s="20">
        <f>'nastavit-mesic'!K91</f>
        <v>521.11363831020606</v>
      </c>
      <c r="Q59" s="20">
        <f>'nastavit-mesic'!J91</f>
        <v>407.85577199348967</v>
      </c>
      <c r="R59" s="20">
        <f>'nastavit-mesic'!I91</f>
        <v>264.02715183985424</v>
      </c>
      <c r="S59" s="20">
        <f>'nastavit-mesic'!H91</f>
        <v>687.46522126351476</v>
      </c>
      <c r="T59" s="20">
        <f>'nastavit-mesic'!G91</f>
        <v>340.24707376454461</v>
      </c>
      <c r="U59" s="20">
        <f>'nastavit-mesic'!F91</f>
        <v>445.22474859344743</v>
      </c>
      <c r="V59" s="20">
        <f>'nastavit-mesic'!E91</f>
        <v>317.46751151546789</v>
      </c>
      <c r="W59" s="20">
        <f>'nastavit-mesic'!D91</f>
        <v>244.23158145610481</v>
      </c>
      <c r="X59" s="20">
        <f>'nastavit-mesic'!C91</f>
        <v>309.15242578331453</v>
      </c>
      <c r="Y59" s="40">
        <f>'nastavit-mesic'!B91</f>
        <v>180.42862343396118</v>
      </c>
    </row>
    <row r="60" spans="1:25" s="3" customFormat="1" x14ac:dyDescent="0.25">
      <c r="A60" s="19" t="str">
        <f>'nastavit-mesic'!A92</f>
        <v>referral - Obrat</v>
      </c>
      <c r="B60" s="19">
        <f>'nastavit-mesic'!Z92</f>
        <v>566162.74671145133</v>
      </c>
      <c r="C60" s="21">
        <f>'nastavit-mesic'!Y92</f>
        <v>2192852.5224639755</v>
      </c>
      <c r="D60" s="21">
        <f>'nastavit-mesic'!X92</f>
        <v>885749.5230505194</v>
      </c>
      <c r="E60" s="21">
        <f>'nastavit-mesic'!W92</f>
        <v>901659.91060381464</v>
      </c>
      <c r="F60" s="21">
        <f>'nastavit-mesic'!V92</f>
        <v>586295.27770451561</v>
      </c>
      <c r="G60" s="21">
        <f>'nastavit-mesic'!U92</f>
        <v>427360.01812162617</v>
      </c>
      <c r="H60" s="21">
        <f>'nastavit-mesic'!T92</f>
        <v>1529313.1878204725</v>
      </c>
      <c r="I60" s="21">
        <f>'nastavit-mesic'!S92</f>
        <v>421456.21991841309</v>
      </c>
      <c r="J60" s="21">
        <f>'nastavit-mesic'!Q92</f>
        <v>530240.84567406564</v>
      </c>
      <c r="K60" s="21">
        <f>'nastavit-mesic'!P92</f>
        <v>598849.37024227052</v>
      </c>
      <c r="L60" s="21">
        <f>'nastavit-mesic'!O92</f>
        <v>425919.30102656217</v>
      </c>
      <c r="M60" s="37">
        <f>'nastavit-mesic'!N92</f>
        <v>589392.39361071866</v>
      </c>
      <c r="N60" s="21">
        <f>'nastavit-mesic'!M92</f>
        <v>2775659.5749212289</v>
      </c>
      <c r="O60" s="21">
        <f>'nastavit-mesic'!L92</f>
        <v>511218.14458260383</v>
      </c>
      <c r="P60" s="21">
        <f>'nastavit-mesic'!K92</f>
        <v>719754.4396043903</v>
      </c>
      <c r="Q60" s="21">
        <f>'nastavit-mesic'!J92</f>
        <v>520195.3887720647</v>
      </c>
      <c r="R60" s="21">
        <f>'nastavit-mesic'!I92</f>
        <v>416525.55654642894</v>
      </c>
      <c r="S60" s="21">
        <f>'nastavit-mesic'!H92</f>
        <v>1107369.5836454709</v>
      </c>
      <c r="T60" s="21">
        <f>'nastavit-mesic'!G92</f>
        <v>659841.81950346567</v>
      </c>
      <c r="U60" s="21">
        <f>'nastavit-mesic'!F92</f>
        <v>930667.5957094616</v>
      </c>
      <c r="V60" s="21">
        <f>'nastavit-mesic'!E92</f>
        <v>440137.49655331753</v>
      </c>
      <c r="W60" s="21">
        <f>'nastavit-mesic'!D92</f>
        <v>638038.34755116049</v>
      </c>
      <c r="X60" s="21">
        <f>'nastavit-mesic'!C92</f>
        <v>667548.28006341239</v>
      </c>
      <c r="Y60" s="41">
        <f>'nastavit-mesic'!B92</f>
        <v>380685.35207889689</v>
      </c>
    </row>
    <row r="61" spans="1:25" s="3" customFormat="1" x14ac:dyDescent="0.25">
      <c r="A61" s="5" t="str">
        <f>'nastavit-mesic'!A93</f>
        <v>referral - KP</v>
      </c>
      <c r="B61" s="5">
        <f>'nastavit-mesic'!Z93</f>
        <v>8.560112178854341E-3</v>
      </c>
      <c r="C61" s="22">
        <f>'nastavit-mesic'!Y93</f>
        <v>2.8570324392169204E-2</v>
      </c>
      <c r="D61" s="22">
        <f>'nastavit-mesic'!X93</f>
        <v>1.7657440489935332E-2</v>
      </c>
      <c r="E61" s="22">
        <f>'nastavit-mesic'!W93</f>
        <v>1.0241677751889755E-2</v>
      </c>
      <c r="F61" s="22">
        <f>'nastavit-mesic'!V93</f>
        <v>4.9116254869052134E-3</v>
      </c>
      <c r="G61" s="22">
        <f>'nastavit-mesic'!U93</f>
        <v>9.3376673870117725E-3</v>
      </c>
      <c r="H61" s="22">
        <f>'nastavit-mesic'!T93</f>
        <v>1.3075127553333307E-2</v>
      </c>
      <c r="I61" s="22">
        <f>'nastavit-mesic'!S93</f>
        <v>1.0160170726105568E-2</v>
      </c>
      <c r="J61" s="22">
        <f>'nastavit-mesic'!Q93</f>
        <v>8.8876583848405931E-3</v>
      </c>
      <c r="K61" s="22">
        <f>'nastavit-mesic'!P93</f>
        <v>1.6515703237174776E-2</v>
      </c>
      <c r="L61" s="22">
        <f>'nastavit-mesic'!O93</f>
        <v>1.9917388388077814E-2</v>
      </c>
      <c r="M61" s="38">
        <f>'nastavit-mesic'!N93</f>
        <v>9.8584147504420013E-3</v>
      </c>
      <c r="N61" s="22">
        <f>'nastavit-mesic'!M93</f>
        <v>3.0740788585353836E-2</v>
      </c>
      <c r="O61" s="22">
        <f>'nastavit-mesic'!L93</f>
        <v>1.4416755988408404E-2</v>
      </c>
      <c r="P61" s="22">
        <f>'nastavit-mesic'!K93</f>
        <v>1.0004695878310434E-2</v>
      </c>
      <c r="Q61" s="22">
        <f>'nastavit-mesic'!J93</f>
        <v>7.00044897425955E-3</v>
      </c>
      <c r="R61" s="22">
        <f>'nastavit-mesic'!I93</f>
        <v>1.2475923425834107E-2</v>
      </c>
      <c r="S61" s="22">
        <f>'nastavit-mesic'!H93</f>
        <v>2.1795343679157048E-2</v>
      </c>
      <c r="T61" s="22">
        <f>'nastavit-mesic'!G93</f>
        <v>1.2345118121578303E-2</v>
      </c>
      <c r="U61" s="22">
        <f>'nastavit-mesic'!F93</f>
        <v>1.7027218452339943E-2</v>
      </c>
      <c r="V61" s="22">
        <f>'nastavit-mesic'!E93</f>
        <v>1.8451534179812115E-2</v>
      </c>
      <c r="W61" s="22">
        <f>'nastavit-mesic'!D93</f>
        <v>9.6225525294558675E-3</v>
      </c>
      <c r="X61" s="22">
        <f>'nastavit-mesic'!C93</f>
        <v>1.7947715934453986E-2</v>
      </c>
      <c r="Y61" s="42">
        <f>'nastavit-mesic'!B93</f>
        <v>8.3956848598793123E-3</v>
      </c>
    </row>
    <row r="62" spans="1:25" x14ac:dyDescent="0.25">
      <c r="A62" s="5" t="s">
        <v>170</v>
      </c>
      <c r="B62" s="19">
        <f t="shared" ref="B62:Y62" si="6">B60/B59</f>
        <v>2128.7815657768392</v>
      </c>
      <c r="C62" s="19">
        <f t="shared" si="6"/>
        <v>1076.2970114087357</v>
      </c>
      <c r="D62" s="19">
        <f t="shared" si="6"/>
        <v>1380.4274700863025</v>
      </c>
      <c r="E62" s="19">
        <f t="shared" si="6"/>
        <v>1136.4130181486062</v>
      </c>
      <c r="F62" s="19">
        <f t="shared" si="6"/>
        <v>2073.4756296105033</v>
      </c>
      <c r="G62" s="19">
        <f t="shared" si="6"/>
        <v>1058.1477218388886</v>
      </c>
      <c r="H62" s="19">
        <f t="shared" si="6"/>
        <v>2403.1299374794335</v>
      </c>
      <c r="I62" s="19">
        <f t="shared" si="6"/>
        <v>832.98870897908523</v>
      </c>
      <c r="J62" s="19">
        <f t="shared" si="6"/>
        <v>1382.1498982904707</v>
      </c>
      <c r="K62" s="19">
        <f t="shared" si="6"/>
        <v>1340.4026019810685</v>
      </c>
      <c r="L62" s="19">
        <f t="shared" si="6"/>
        <v>958.71995220574308</v>
      </c>
      <c r="M62" s="73">
        <f t="shared" si="6"/>
        <v>2074.3789604185158</v>
      </c>
      <c r="N62" s="19">
        <f t="shared" si="6"/>
        <v>1459.395707439442</v>
      </c>
      <c r="O62" s="19">
        <f t="shared" si="6"/>
        <v>780.04328784219058</v>
      </c>
      <c r="P62" s="19">
        <f t="shared" si="6"/>
        <v>1381.1851901215034</v>
      </c>
      <c r="Q62" s="19">
        <f t="shared" si="6"/>
        <v>1275.4395658776364</v>
      </c>
      <c r="R62" s="19">
        <f t="shared" si="6"/>
        <v>1577.5860688717071</v>
      </c>
      <c r="S62" s="19">
        <f t="shared" si="6"/>
        <v>1610.8008803851928</v>
      </c>
      <c r="T62" s="19">
        <f t="shared" si="6"/>
        <v>1939.3019672524349</v>
      </c>
      <c r="U62" s="19">
        <f t="shared" si="6"/>
        <v>2090.3321269754738</v>
      </c>
      <c r="V62" s="19">
        <f t="shared" si="6"/>
        <v>1386.4016965146143</v>
      </c>
      <c r="W62" s="19">
        <f t="shared" si="6"/>
        <v>2612.4317901361733</v>
      </c>
      <c r="X62" s="19">
        <f t="shared" si="6"/>
        <v>2159.2852728618022</v>
      </c>
      <c r="Y62" s="75">
        <f t="shared" si="6"/>
        <v>2109.8944548464719</v>
      </c>
    </row>
    <row r="63" spans="1:25" s="19" customFormat="1" x14ac:dyDescent="0.25">
      <c r="A63" s="3"/>
      <c r="B63" s="3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36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40"/>
    </row>
    <row r="64" spans="1:25" s="3" customFormat="1" x14ac:dyDescent="0.25">
      <c r="A64" s="3" t="str">
        <f>'nastavit-mesic'!A58</f>
        <v>RTB - Návštěvy</v>
      </c>
      <c r="B64" s="3">
        <f>'nastavit-mesic'!Z58</f>
        <v>11660.345944978473</v>
      </c>
      <c r="C64" s="20">
        <f>'nastavit-mesic'!Y58</f>
        <v>21241.740367173828</v>
      </c>
      <c r="D64" s="20">
        <f>'nastavit-mesic'!X58</f>
        <v>11151.279247608029</v>
      </c>
      <c r="E64" s="20">
        <f>'nastavit-mesic'!W58</f>
        <v>9714.8265233587663</v>
      </c>
      <c r="F64" s="20">
        <f>'nastavit-mesic'!V58</f>
        <v>8817.3367877251512</v>
      </c>
      <c r="G64" s="20">
        <f>'nastavit-mesic'!U58</f>
        <v>18385.758761481724</v>
      </c>
      <c r="H64" s="20">
        <f>'nastavit-mesic'!T58</f>
        <v>17779.443399479416</v>
      </c>
      <c r="I64" s="20">
        <f>'nastavit-mesic'!S58</f>
        <v>17550.932537200064</v>
      </c>
      <c r="J64" s="20">
        <f>'nastavit-mesic'!Q58</f>
        <v>12367.077589883764</v>
      </c>
      <c r="K64" s="20">
        <f>'nastavit-mesic'!P58</f>
        <v>18982.369532504308</v>
      </c>
      <c r="L64" s="20">
        <f>'nastavit-mesic'!O58</f>
        <v>13084.494374282791</v>
      </c>
      <c r="M64" s="36">
        <f>'nastavit-mesic'!N58</f>
        <v>9220.6292744570783</v>
      </c>
      <c r="N64" s="20">
        <f>'nastavit-mesic'!M58</f>
        <v>13580.955761019857</v>
      </c>
      <c r="O64" s="20">
        <f>'nastavit-mesic'!L58</f>
        <v>16740.360032278335</v>
      </c>
      <c r="P64" s="20">
        <f>'nastavit-mesic'!K58</f>
        <v>12656.79872074422</v>
      </c>
      <c r="Q64" s="20">
        <f>'nastavit-mesic'!J58</f>
        <v>20303.036821128677</v>
      </c>
      <c r="R64" s="20">
        <f>'nastavit-mesic'!I58</f>
        <v>19229.892227849756</v>
      </c>
      <c r="S64" s="20">
        <f>'nastavit-mesic'!H58</f>
        <v>22417.666503278793</v>
      </c>
      <c r="T64" s="20">
        <f>'nastavit-mesic'!G58</f>
        <v>11605.759744497238</v>
      </c>
      <c r="U64" s="20">
        <f>'nastavit-mesic'!F58</f>
        <v>22862.335397838604</v>
      </c>
      <c r="V64" s="20">
        <f>'nastavit-mesic'!E58</f>
        <v>15854.024951510217</v>
      </c>
      <c r="W64" s="20">
        <f>'nastavit-mesic'!D58</f>
        <v>14546.294342196647</v>
      </c>
      <c r="X64" s="20">
        <f>'nastavit-mesic'!C58</f>
        <v>17891.344667143752</v>
      </c>
      <c r="Y64" s="40">
        <f>'nastavit-mesic'!B58</f>
        <v>12804.918989483891</v>
      </c>
    </row>
    <row r="65" spans="1:25" s="3" customFormat="1" x14ac:dyDescent="0.25">
      <c r="A65" s="3" t="str">
        <f>'nastavit-mesic'!A59</f>
        <v>RTB - Transakce</v>
      </c>
      <c r="B65" s="3">
        <f>'nastavit-mesic'!Z59</f>
        <v>322.74774819332225</v>
      </c>
      <c r="C65" s="20">
        <f>'nastavit-mesic'!Y59</f>
        <v>225.00546902286439</v>
      </c>
      <c r="D65" s="20">
        <f>'nastavit-mesic'!X59</f>
        <v>111.79066994890437</v>
      </c>
      <c r="E65" s="20">
        <f>'nastavit-mesic'!W59</f>
        <v>190.49252074117413</v>
      </c>
      <c r="F65" s="20">
        <f>'nastavit-mesic'!V59</f>
        <v>256.02712525738582</v>
      </c>
      <c r="G65" s="20">
        <f>'nastavit-mesic'!U59</f>
        <v>243.78584813540402</v>
      </c>
      <c r="H65" s="20">
        <f>'nastavit-mesic'!T59</f>
        <v>241.62367864490241</v>
      </c>
      <c r="I65" s="20">
        <f>'nastavit-mesic'!S59</f>
        <v>305.10541699855474</v>
      </c>
      <c r="J65" s="20">
        <f>'nastavit-mesic'!Q59</f>
        <v>218.16422588224475</v>
      </c>
      <c r="K65" s="20">
        <f>'nastavit-mesic'!P59</f>
        <v>198.8760245050222</v>
      </c>
      <c r="L65" s="20">
        <f>'nastavit-mesic'!O59</f>
        <v>159.63350405243014</v>
      </c>
      <c r="M65" s="36">
        <f>'nastavit-mesic'!N59</f>
        <v>213.38698748919126</v>
      </c>
      <c r="N65" s="20">
        <f>'nastavit-mesic'!M59</f>
        <v>167.41820709958657</v>
      </c>
      <c r="O65" s="20">
        <f>'nastavit-mesic'!L59</f>
        <v>321.5233531175424</v>
      </c>
      <c r="P65" s="20">
        <f>'nastavit-mesic'!K59</f>
        <v>300.86680804663513</v>
      </c>
      <c r="Q65" s="20">
        <f>'nastavit-mesic'!J59</f>
        <v>318.60921933620756</v>
      </c>
      <c r="R65" s="20">
        <f>'nastavit-mesic'!I59</f>
        <v>196.85851000734417</v>
      </c>
      <c r="S65" s="20">
        <f>'nastavit-mesic'!H59</f>
        <v>318.86759346773158</v>
      </c>
      <c r="T65" s="20">
        <f>'nastavit-mesic'!G59</f>
        <v>176.08328834961964</v>
      </c>
      <c r="U65" s="20">
        <f>'nastavit-mesic'!F59</f>
        <v>188.81414551912184</v>
      </c>
      <c r="V65" s="20">
        <f>'nastavit-mesic'!E59</f>
        <v>330.54295114120168</v>
      </c>
      <c r="W65" s="20">
        <f>'nastavit-mesic'!D59</f>
        <v>302.67152217856807</v>
      </c>
      <c r="X65" s="20">
        <f>'nastavit-mesic'!C59</f>
        <v>366.44375992575453</v>
      </c>
      <c r="Y65" s="40">
        <f>'nastavit-mesic'!B59</f>
        <v>316.6013060781932</v>
      </c>
    </row>
    <row r="66" spans="1:25" s="19" customFormat="1" x14ac:dyDescent="0.25">
      <c r="A66" s="19" t="str">
        <f>'nastavit-mesic'!A60</f>
        <v>RTB - Obrat</v>
      </c>
      <c r="B66" s="19">
        <f>'nastavit-mesic'!Z60</f>
        <v>400328.07759205275</v>
      </c>
      <c r="C66" s="21">
        <f>'nastavit-mesic'!Y60</f>
        <v>444584.8048343244</v>
      </c>
      <c r="D66" s="21">
        <f>'nastavit-mesic'!X60</f>
        <v>155190.67488816517</v>
      </c>
      <c r="E66" s="21">
        <f>'nastavit-mesic'!W60</f>
        <v>310663.68774776766</v>
      </c>
      <c r="F66" s="21">
        <f>'nastavit-mesic'!V60</f>
        <v>258680.22464849579</v>
      </c>
      <c r="G66" s="21">
        <f>'nastavit-mesic'!U60</f>
        <v>529440.13455734018</v>
      </c>
      <c r="H66" s="21">
        <f>'nastavit-mesic'!T60</f>
        <v>354397.15116591152</v>
      </c>
      <c r="I66" s="21">
        <f>'nastavit-mesic'!S60</f>
        <v>600621.14854672004</v>
      </c>
      <c r="J66" s="21">
        <f>'nastavit-mesic'!Q60</f>
        <v>245305.15492270674</v>
      </c>
      <c r="K66" s="21">
        <f>'nastavit-mesic'!P60</f>
        <v>310086.00037312484</v>
      </c>
      <c r="L66" s="21">
        <f>'nastavit-mesic'!O60</f>
        <v>147353.773185592</v>
      </c>
      <c r="M66" s="37">
        <f>'nastavit-mesic'!N60</f>
        <v>313526.25675899972</v>
      </c>
      <c r="N66" s="21">
        <f>'nastavit-mesic'!M60</f>
        <v>236128.28554351639</v>
      </c>
      <c r="O66" s="21">
        <f>'nastavit-mesic'!L60</f>
        <v>440137.45093987969</v>
      </c>
      <c r="P66" s="21">
        <f>'nastavit-mesic'!K60</f>
        <v>407849.32575051568</v>
      </c>
      <c r="Q66" s="21">
        <f>'nastavit-mesic'!J60</f>
        <v>643484.08363336429</v>
      </c>
      <c r="R66" s="21">
        <f>'nastavit-mesic'!I60</f>
        <v>456204.15915947518</v>
      </c>
      <c r="S66" s="21">
        <f>'nastavit-mesic'!H60</f>
        <v>302218.01723447302</v>
      </c>
      <c r="T66" s="21">
        <f>'nastavit-mesic'!G60</f>
        <v>375069.8426675623</v>
      </c>
      <c r="U66" s="21">
        <f>'nastavit-mesic'!F60</f>
        <v>293624.16737724579</v>
      </c>
      <c r="V66" s="21">
        <f>'nastavit-mesic'!E60</f>
        <v>477174.19300909247</v>
      </c>
      <c r="W66" s="21">
        <f>'nastavit-mesic'!D60</f>
        <v>571662.4490811025</v>
      </c>
      <c r="X66" s="21">
        <f>'nastavit-mesic'!C60</f>
        <v>654036.8559982779</v>
      </c>
      <c r="Y66" s="41">
        <f>'nastavit-mesic'!B60</f>
        <v>227356.5351186585</v>
      </c>
    </row>
    <row r="67" spans="1:25" s="5" customFormat="1" x14ac:dyDescent="0.25">
      <c r="A67" s="5" t="str">
        <f>'nastavit-mesic'!A61</f>
        <v>RTB - KP</v>
      </c>
      <c r="B67" s="5">
        <f>'nastavit-mesic'!Z61</f>
        <v>2.7679088572180273E-2</v>
      </c>
      <c r="C67" s="22">
        <f>'nastavit-mesic'!Y61</f>
        <v>1.0592609886644656E-2</v>
      </c>
      <c r="D67" s="22">
        <f>'nastavit-mesic'!X61</f>
        <v>1.002491888747954E-2</v>
      </c>
      <c r="E67" s="22">
        <f>'nastavit-mesic'!W61</f>
        <v>1.9608432562655168E-2</v>
      </c>
      <c r="F67" s="22">
        <f>'nastavit-mesic'!V61</f>
        <v>2.9036786438032852E-2</v>
      </c>
      <c r="G67" s="22">
        <f>'nastavit-mesic'!U61</f>
        <v>1.3259493464372918E-2</v>
      </c>
      <c r="H67" s="22">
        <f>'nastavit-mesic'!T61</f>
        <v>1.3590058654590793E-2</v>
      </c>
      <c r="I67" s="22">
        <f>'nastavit-mesic'!S61</f>
        <v>1.738400032886394E-2</v>
      </c>
      <c r="J67" s="22">
        <f>'nastavit-mesic'!Q61</f>
        <v>1.7640725894749985E-2</v>
      </c>
      <c r="K67" s="22">
        <f>'nastavit-mesic'!P61</f>
        <v>1.04768808848905E-2</v>
      </c>
      <c r="L67" s="22">
        <f>'nastavit-mesic'!O61</f>
        <v>1.220020426361949E-2</v>
      </c>
      <c r="M67" s="38">
        <f>'nastavit-mesic'!N61</f>
        <v>2.3142345401556744E-2</v>
      </c>
      <c r="N67" s="22">
        <f>'nastavit-mesic'!M61</f>
        <v>1.2327424523398517E-2</v>
      </c>
      <c r="O67" s="22">
        <f>'nastavit-mesic'!L61</f>
        <v>1.9206477787669398E-2</v>
      </c>
      <c r="P67" s="22">
        <f>'nastavit-mesic'!K61</f>
        <v>2.3771161625057758E-2</v>
      </c>
      <c r="Q67" s="22">
        <f>'nastavit-mesic'!J61</f>
        <v>1.5692687854687918E-2</v>
      </c>
      <c r="R67" s="22">
        <f>'nastavit-mesic'!I61</f>
        <v>1.0237109375071961E-2</v>
      </c>
      <c r="S67" s="22">
        <f>'nastavit-mesic'!H61</f>
        <v>1.4223942238639969E-2</v>
      </c>
      <c r="T67" s="22">
        <f>'nastavit-mesic'!G61</f>
        <v>1.5172060444651879E-2</v>
      </c>
      <c r="U67" s="22">
        <f>'nastavit-mesic'!F61</f>
        <v>8.2587426976936159E-3</v>
      </c>
      <c r="V67" s="22">
        <f>'nastavit-mesic'!E61</f>
        <v>2.0849150430390546E-2</v>
      </c>
      <c r="W67" s="22">
        <f>'nastavit-mesic'!D61</f>
        <v>2.0807465809389185E-2</v>
      </c>
      <c r="X67" s="22">
        <f>'nastavit-mesic'!C61</f>
        <v>2.048162207722172E-2</v>
      </c>
      <c r="Y67" s="42">
        <f>'nastavit-mesic'!B61</f>
        <v>2.4724975326919581E-2</v>
      </c>
    </row>
    <row r="68" spans="1:25" x14ac:dyDescent="0.25">
      <c r="A68" s="5" t="s">
        <v>149</v>
      </c>
      <c r="B68" s="84">
        <f>'nastavit-mesic'!Z107</f>
        <v>1112.1487269550316</v>
      </c>
      <c r="C68" s="84">
        <f>'nastavit-mesic'!Y107</f>
        <v>1078.8781653987787</v>
      </c>
      <c r="D68" s="84">
        <f>'nastavit-mesic'!X107</f>
        <v>1009.1915646617805</v>
      </c>
      <c r="E68" s="84">
        <f>'nastavit-mesic'!W107</f>
        <v>1023.9509921595313</v>
      </c>
      <c r="F68" s="84">
        <f>'nastavit-mesic'!V107</f>
        <v>1150.7479671306658</v>
      </c>
      <c r="G68" s="84">
        <f>'nastavit-mesic'!U107</f>
        <v>1577.7105462711104</v>
      </c>
      <c r="H68" s="84">
        <f>'nastavit-mesic'!T107</f>
        <v>1608.2387246415296</v>
      </c>
      <c r="I68" s="84">
        <f>'nastavit-mesic'!S107</f>
        <v>707.36968722833035</v>
      </c>
      <c r="J68" s="84">
        <f>'nastavit-mesic'!Q107</f>
        <v>1067.4804322268078</v>
      </c>
      <c r="K68" s="84">
        <f>'nastavit-mesic'!P107</f>
        <v>848.46563494987458</v>
      </c>
      <c r="L68" s="84">
        <f>'nastavit-mesic'!O107</f>
        <v>2082.4989718531356</v>
      </c>
      <c r="M68" s="86">
        <f>'nastavit-mesic'!N107</f>
        <v>1131.853915620871</v>
      </c>
      <c r="N68" s="84">
        <f>'nastavit-mesic'!M107</f>
        <v>928.24763544939651</v>
      </c>
      <c r="O68" s="84">
        <f>'nastavit-mesic'!L107</f>
        <v>1186.9642492374796</v>
      </c>
      <c r="P68" s="84">
        <f>'nastavit-mesic'!K107</f>
        <v>398.35366403930277</v>
      </c>
      <c r="Q68" s="84">
        <f>'nastavit-mesic'!J107</f>
        <v>2417.1130243487919</v>
      </c>
      <c r="R68" s="84">
        <f>'nastavit-mesic'!I107</f>
        <v>1055.591433824939</v>
      </c>
      <c r="S68" s="84">
        <f>'nastavit-mesic'!H107</f>
        <v>1379.8450087772785</v>
      </c>
      <c r="T68" s="84">
        <f>'nastavit-mesic'!G107</f>
        <v>978.61938400027498</v>
      </c>
      <c r="U68" s="84">
        <f>'nastavit-mesic'!F107</f>
        <v>2000.0804030030633</v>
      </c>
      <c r="V68" s="84">
        <f>'nastavit-mesic'!E107</f>
        <v>1134.7679608714052</v>
      </c>
      <c r="W68" s="84">
        <f>'nastavit-mesic'!D107</f>
        <v>1212.7444003056335</v>
      </c>
      <c r="X68" s="84">
        <f>'nastavit-mesic'!C107</f>
        <v>1404.8225737656426</v>
      </c>
      <c r="Y68" s="85">
        <f>'nastavit-mesic'!B107</f>
        <v>1332.497982797762</v>
      </c>
    </row>
    <row r="69" spans="1:25" x14ac:dyDescent="0.25">
      <c r="A69" s="18" t="s">
        <v>153</v>
      </c>
      <c r="B69" s="19">
        <f>B68*$V$36</f>
        <v>28915.866900830821</v>
      </c>
      <c r="C69" s="19">
        <f t="shared" ref="C69:Y69" si="7">C68*$V$36</f>
        <v>28050.832300368245</v>
      </c>
      <c r="D69" s="19">
        <f t="shared" si="7"/>
        <v>26238.980681206293</v>
      </c>
      <c r="E69" s="19">
        <f t="shared" si="7"/>
        <v>26622.725796147814</v>
      </c>
      <c r="F69" s="19">
        <f t="shared" si="7"/>
        <v>29919.447145397309</v>
      </c>
      <c r="G69" s="19">
        <f t="shared" si="7"/>
        <v>41020.474203048871</v>
      </c>
      <c r="H69" s="19">
        <f t="shared" si="7"/>
        <v>41814.20684067977</v>
      </c>
      <c r="I69" s="19">
        <f t="shared" si="7"/>
        <v>18391.61186793659</v>
      </c>
      <c r="J69" s="19">
        <f t="shared" si="7"/>
        <v>27754.491237897004</v>
      </c>
      <c r="K69" s="19">
        <f t="shared" si="7"/>
        <v>22060.106508696739</v>
      </c>
      <c r="L69" s="19">
        <f t="shared" si="7"/>
        <v>54144.973268181522</v>
      </c>
      <c r="M69" s="73">
        <f t="shared" si="7"/>
        <v>29428.201806142646</v>
      </c>
      <c r="N69" s="19">
        <f t="shared" si="7"/>
        <v>24134.438521684307</v>
      </c>
      <c r="O69" s="19">
        <f t="shared" si="7"/>
        <v>30861.070480174472</v>
      </c>
      <c r="P69" s="19">
        <f t="shared" si="7"/>
        <v>10357.195265021872</v>
      </c>
      <c r="Q69" s="19">
        <f t="shared" si="7"/>
        <v>62844.938633068588</v>
      </c>
      <c r="R69" s="19">
        <f t="shared" si="7"/>
        <v>27445.377279448414</v>
      </c>
      <c r="S69" s="19">
        <f t="shared" si="7"/>
        <v>35875.97022820924</v>
      </c>
      <c r="T69" s="19">
        <f t="shared" si="7"/>
        <v>25444.10398400715</v>
      </c>
      <c r="U69" s="19">
        <f t="shared" si="7"/>
        <v>52002.090478079648</v>
      </c>
      <c r="V69" s="19">
        <f t="shared" si="7"/>
        <v>29503.966982656537</v>
      </c>
      <c r="W69" s="19">
        <f t="shared" si="7"/>
        <v>31531.35440794647</v>
      </c>
      <c r="X69" s="19">
        <f t="shared" si="7"/>
        <v>36525.386917906704</v>
      </c>
      <c r="Y69" s="75">
        <f t="shared" si="7"/>
        <v>34644.947552741811</v>
      </c>
    </row>
    <row r="70" spans="1:25" x14ac:dyDescent="0.25">
      <c r="A70" s="19" t="s">
        <v>151</v>
      </c>
      <c r="B70" s="19">
        <f>B69/B65</f>
        <v>89.592776596261615</v>
      </c>
      <c r="C70" s="19">
        <f t="shared" ref="C70:Y70" si="8">C69/C65</f>
        <v>124.6673355193771</v>
      </c>
      <c r="D70" s="19">
        <f t="shared" si="8"/>
        <v>234.71530041996544</v>
      </c>
      <c r="E70" s="19">
        <f t="shared" si="8"/>
        <v>139.75732849018584</v>
      </c>
      <c r="F70" s="19">
        <f t="shared" si="8"/>
        <v>116.86045810700364</v>
      </c>
      <c r="G70" s="19">
        <f t="shared" si="8"/>
        <v>168.26437841570359</v>
      </c>
      <c r="H70" s="19">
        <f t="shared" si="8"/>
        <v>173.05508746156957</v>
      </c>
      <c r="I70" s="19">
        <f t="shared" si="8"/>
        <v>60.279532395269499</v>
      </c>
      <c r="J70" s="19">
        <f t="shared" si="8"/>
        <v>127.21834263000402</v>
      </c>
      <c r="K70" s="19">
        <f t="shared" si="8"/>
        <v>110.92391133421745</v>
      </c>
      <c r="L70" s="19">
        <f t="shared" si="8"/>
        <v>339.18301543013246</v>
      </c>
      <c r="M70" s="73">
        <f t="shared" si="8"/>
        <v>137.91001106678672</v>
      </c>
      <c r="N70" s="19">
        <f t="shared" si="8"/>
        <v>144.1565940753878</v>
      </c>
      <c r="O70" s="19">
        <f t="shared" si="8"/>
        <v>95.983915883373768</v>
      </c>
      <c r="P70" s="19">
        <f t="shared" si="8"/>
        <v>34.424519382066499</v>
      </c>
      <c r="Q70" s="19">
        <f t="shared" si="8"/>
        <v>197.24770916547902</v>
      </c>
      <c r="R70" s="19">
        <f t="shared" si="8"/>
        <v>139.41676830950573</v>
      </c>
      <c r="S70" s="19">
        <f t="shared" si="8"/>
        <v>112.51055598987917</v>
      </c>
      <c r="T70" s="19">
        <f t="shared" si="8"/>
        <v>144.5003908235004</v>
      </c>
      <c r="U70" s="19">
        <f t="shared" si="8"/>
        <v>275.41416632268806</v>
      </c>
      <c r="V70" s="19">
        <f t="shared" si="8"/>
        <v>89.259101973870258</v>
      </c>
      <c r="W70" s="19">
        <f t="shared" si="8"/>
        <v>104.1768124764107</v>
      </c>
      <c r="X70" s="19">
        <f t="shared" si="8"/>
        <v>99.67528693982166</v>
      </c>
      <c r="Y70" s="75">
        <f t="shared" si="8"/>
        <v>109.42768361222524</v>
      </c>
    </row>
    <row r="71" spans="1:25" x14ac:dyDescent="0.25">
      <c r="A71" s="5" t="s">
        <v>152</v>
      </c>
      <c r="B71" s="5">
        <f>B69/B66</f>
        <v>7.2230424292889658E-2</v>
      </c>
      <c r="C71" s="5">
        <f t="shared" ref="C71:Y71" si="9">C69/C66</f>
        <v>6.3094446763247922E-2</v>
      </c>
      <c r="D71" s="5">
        <f t="shared" si="9"/>
        <v>0.16907575600218797</v>
      </c>
      <c r="E71" s="5">
        <f t="shared" si="9"/>
        <v>8.569629102504954E-2</v>
      </c>
      <c r="F71" s="5">
        <f t="shared" si="9"/>
        <v>0.11566190336371075</v>
      </c>
      <c r="G71" s="5">
        <f t="shared" si="9"/>
        <v>7.7478966035216992E-2</v>
      </c>
      <c r="H71" s="5">
        <f t="shared" si="9"/>
        <v>0.11798685938393559</v>
      </c>
      <c r="I71" s="5">
        <f t="shared" si="9"/>
        <v>3.0620986144822664E-2</v>
      </c>
      <c r="J71" s="5">
        <f t="shared" si="9"/>
        <v>0.11314271502627889</v>
      </c>
      <c r="K71" s="5">
        <f t="shared" si="9"/>
        <v>7.1141897674038584E-2</v>
      </c>
      <c r="L71" s="5">
        <f t="shared" si="9"/>
        <v>0.36744884163899866</v>
      </c>
      <c r="M71" s="74">
        <f t="shared" si="9"/>
        <v>9.3862000938452234E-2</v>
      </c>
      <c r="N71" s="5">
        <f t="shared" si="9"/>
        <v>0.10220901094560542</v>
      </c>
      <c r="O71" s="5">
        <f t="shared" si="9"/>
        <v>7.0116892834892891E-2</v>
      </c>
      <c r="P71" s="5">
        <f t="shared" si="9"/>
        <v>2.5394660751155543E-2</v>
      </c>
      <c r="Q71" s="5">
        <f t="shared" si="9"/>
        <v>9.7663547912826901E-2</v>
      </c>
      <c r="R71" s="5">
        <f t="shared" si="9"/>
        <v>6.0160296061339373E-2</v>
      </c>
      <c r="S71" s="5">
        <f t="shared" si="9"/>
        <v>0.11870890609534773</v>
      </c>
      <c r="T71" s="5">
        <f t="shared" si="9"/>
        <v>6.7838309268066541E-2</v>
      </c>
      <c r="U71" s="5">
        <f t="shared" si="9"/>
        <v>0.17710425862619072</v>
      </c>
      <c r="V71" s="5">
        <f t="shared" si="9"/>
        <v>6.1830600679811581E-2</v>
      </c>
      <c r="W71" s="5">
        <f t="shared" si="9"/>
        <v>5.5157295111180331E-2</v>
      </c>
      <c r="X71" s="5">
        <f t="shared" si="9"/>
        <v>5.5846068280291039E-2</v>
      </c>
      <c r="Y71" s="70">
        <f t="shared" si="9"/>
        <v>0.15238157783615255</v>
      </c>
    </row>
    <row r="72" spans="1:25" s="19" customFormat="1" x14ac:dyDescent="0.25">
      <c r="A72" s="5" t="s">
        <v>171</v>
      </c>
      <c r="B72" s="19">
        <f t="shared" ref="B72:Y72" si="10">B66/B65</f>
        <v>1240.3745024806826</v>
      </c>
      <c r="C72" s="19">
        <f t="shared" si="10"/>
        <v>1975.8844385651223</v>
      </c>
      <c r="D72" s="19">
        <f t="shared" si="10"/>
        <v>1388.2256449406507</v>
      </c>
      <c r="E72" s="19">
        <f t="shared" si="10"/>
        <v>1630.8445420273083</v>
      </c>
      <c r="F72" s="19">
        <f t="shared" si="10"/>
        <v>1010.3625714987925</v>
      </c>
      <c r="G72" s="19">
        <f t="shared" si="10"/>
        <v>2171.7426938715389</v>
      </c>
      <c r="H72" s="19">
        <f t="shared" si="10"/>
        <v>1466.7318747627564</v>
      </c>
      <c r="I72" s="19">
        <f t="shared" si="10"/>
        <v>1968.5692717463785</v>
      </c>
      <c r="J72" s="19">
        <f t="shared" si="10"/>
        <v>1124.4059557918147</v>
      </c>
      <c r="K72" s="19">
        <f t="shared" si="10"/>
        <v>1559.1924725209612</v>
      </c>
      <c r="L72" s="19">
        <f t="shared" si="10"/>
        <v>923.07547879920639</v>
      </c>
      <c r="M72" s="73">
        <f t="shared" si="10"/>
        <v>1469.284797766222</v>
      </c>
      <c r="N72" s="19">
        <f t="shared" si="10"/>
        <v>1410.4098331614466</v>
      </c>
      <c r="O72" s="19">
        <f t="shared" si="10"/>
        <v>1368.9128539878545</v>
      </c>
      <c r="P72" s="19">
        <f t="shared" si="10"/>
        <v>1355.5809907994171</v>
      </c>
      <c r="Q72" s="19">
        <f t="shared" si="10"/>
        <v>2019.6656109763649</v>
      </c>
      <c r="R72" s="19">
        <f t="shared" si="10"/>
        <v>2317.4215792980231</v>
      </c>
      <c r="S72" s="19">
        <f t="shared" si="10"/>
        <v>947.78529843000979</v>
      </c>
      <c r="T72" s="19">
        <f t="shared" si="10"/>
        <v>2130.0706397693334</v>
      </c>
      <c r="U72" s="19">
        <f t="shared" si="10"/>
        <v>1555.0962379961595</v>
      </c>
      <c r="V72" s="19">
        <f t="shared" si="10"/>
        <v>1443.6072267209011</v>
      </c>
      <c r="W72" s="19">
        <f t="shared" si="10"/>
        <v>1888.7222853553992</v>
      </c>
      <c r="X72" s="19">
        <f t="shared" si="10"/>
        <v>1784.8219222802234</v>
      </c>
      <c r="Y72" s="75">
        <f t="shared" si="10"/>
        <v>718.11622616145087</v>
      </c>
    </row>
    <row r="73" spans="1:25" s="5" customFormat="1" x14ac:dyDescent="0.25"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38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42"/>
    </row>
    <row r="74" spans="1:25" s="5" customFormat="1" x14ac:dyDescent="0.25"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38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42"/>
    </row>
    <row r="75" spans="1:25" ht="18.75" x14ac:dyDescent="0.3">
      <c r="A75" s="107" t="s">
        <v>186</v>
      </c>
      <c r="B75" s="5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38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42"/>
    </row>
    <row r="76" spans="1:25" x14ac:dyDescent="0.25">
      <c r="A76" s="106" t="s">
        <v>187</v>
      </c>
      <c r="B76" s="5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38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42"/>
    </row>
    <row r="77" spans="1:25" x14ac:dyDescent="0.25">
      <c r="A77" s="5"/>
      <c r="B77" s="5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38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42"/>
    </row>
    <row r="78" spans="1:25" x14ac:dyDescent="0.25">
      <c r="A78" s="5"/>
      <c r="B78" s="5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38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42"/>
    </row>
    <row r="79" spans="1:25" x14ac:dyDescent="0.25">
      <c r="A79" s="5"/>
      <c r="B79" s="5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38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42"/>
    </row>
    <row r="80" spans="1:25" x14ac:dyDescent="0.25">
      <c r="A80" s="5"/>
      <c r="B80" s="5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38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42"/>
    </row>
    <row r="81" spans="1:25" x14ac:dyDescent="0.25">
      <c r="A81" s="5"/>
      <c r="B81" s="5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38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42"/>
    </row>
    <row r="82" spans="1:25" x14ac:dyDescent="0.25">
      <c r="A82" s="5"/>
      <c r="B82" s="5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38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42"/>
    </row>
    <row r="83" spans="1:25" x14ac:dyDescent="0.25">
      <c r="A83" s="5"/>
      <c r="B83" s="5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38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42"/>
    </row>
    <row r="84" spans="1:25" x14ac:dyDescent="0.25">
      <c r="A84" s="5"/>
      <c r="B84" s="5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38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42"/>
    </row>
    <row r="85" spans="1:25" x14ac:dyDescent="0.25">
      <c r="A85" s="5"/>
      <c r="B85" s="5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38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42"/>
    </row>
    <row r="86" spans="1:25" x14ac:dyDescent="0.25">
      <c r="A86" s="5"/>
      <c r="B86" s="5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38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42"/>
    </row>
    <row r="87" spans="1:25" x14ac:dyDescent="0.25">
      <c r="A87" s="5"/>
      <c r="B87" s="5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38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42"/>
    </row>
    <row r="88" spans="1:25" x14ac:dyDescent="0.25">
      <c r="A88" s="5"/>
      <c r="B88" s="5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38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42"/>
    </row>
    <row r="89" spans="1:25" x14ac:dyDescent="0.25">
      <c r="A89" s="5"/>
      <c r="B89" s="5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38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42"/>
    </row>
    <row r="90" spans="1:25" x14ac:dyDescent="0.25">
      <c r="A90" s="5"/>
      <c r="B90" s="5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38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42"/>
    </row>
    <row r="91" spans="1:25" x14ac:dyDescent="0.25">
      <c r="A91" s="5"/>
      <c r="B91" s="5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38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42"/>
    </row>
    <row r="92" spans="1:25" x14ac:dyDescent="0.25">
      <c r="A92" s="5"/>
      <c r="B92" s="5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38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42"/>
    </row>
    <row r="93" spans="1:25" x14ac:dyDescent="0.25">
      <c r="A93" s="5"/>
      <c r="B93" s="5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38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42"/>
    </row>
    <row r="94" spans="1:25" x14ac:dyDescent="0.25">
      <c r="A94" s="5"/>
      <c r="B94" s="5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38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42"/>
    </row>
    <row r="95" spans="1:25" x14ac:dyDescent="0.25">
      <c r="A95" s="5"/>
      <c r="B95" s="5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38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42"/>
    </row>
    <row r="96" spans="1:25" x14ac:dyDescent="0.25">
      <c r="A96" s="5"/>
      <c r="B96" s="5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38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42"/>
    </row>
    <row r="97" spans="1:25" x14ac:dyDescent="0.25">
      <c r="A97" s="5"/>
      <c r="B97" s="5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38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42"/>
    </row>
    <row r="98" spans="1:25" x14ac:dyDescent="0.25">
      <c r="A98" s="5"/>
      <c r="B98" s="5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38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42"/>
    </row>
    <row r="99" spans="1:25" x14ac:dyDescent="0.25">
      <c r="A99" s="5"/>
      <c r="B99" s="5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38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42"/>
    </row>
    <row r="100" spans="1:25" x14ac:dyDescent="0.25">
      <c r="A100" s="5"/>
      <c r="B100" s="5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38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42"/>
    </row>
    <row r="101" spans="1:25" x14ac:dyDescent="0.25">
      <c r="A101" s="5"/>
      <c r="B101" s="5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38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42"/>
    </row>
    <row r="102" spans="1:25" x14ac:dyDescent="0.25">
      <c r="A102" s="5"/>
      <c r="B102" s="5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38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42"/>
    </row>
    <row r="103" spans="1:25" x14ac:dyDescent="0.25">
      <c r="A103" s="5"/>
      <c r="B103" s="5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38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42"/>
    </row>
    <row r="104" spans="1:25" x14ac:dyDescent="0.25">
      <c r="A104" s="5"/>
      <c r="B104" s="5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38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42"/>
    </row>
  </sheetData>
  <conditionalFormatting sqref="C39:C42">
    <cfRule type="iconSet" priority="12">
      <iconSet iconSet="4Arrows">
        <cfvo type="percent" val="0"/>
        <cfvo type="num" val="-0.2"/>
        <cfvo type="num" val="0"/>
        <cfvo type="num" val="0.2"/>
      </iconSet>
    </cfRule>
  </conditionalFormatting>
  <conditionalFormatting sqref="H39:H42">
    <cfRule type="iconSet" priority="11">
      <iconSet iconSet="4Arrows">
        <cfvo type="percent" val="0"/>
        <cfvo type="num" val="-0.2"/>
        <cfvo type="num" val="0"/>
        <cfvo type="num" val="0.2"/>
      </iconSet>
    </cfRule>
  </conditionalFormatting>
  <conditionalFormatting sqref="M39:M42">
    <cfRule type="iconSet" priority="10">
      <iconSet iconSet="4Arrows">
        <cfvo type="percent" val="0"/>
        <cfvo type="num" val="-0.2"/>
        <cfvo type="num" val="0"/>
        <cfvo type="num" val="0.2"/>
      </iconSet>
    </cfRule>
  </conditionalFormatting>
  <conditionalFormatting sqref="R36:R42">
    <cfRule type="iconSet" priority="7">
      <iconSet iconSet="4Arrows">
        <cfvo type="percent" val="0"/>
        <cfvo type="num" val="-0.2"/>
        <cfvo type="num" val="0"/>
        <cfvo type="num" val="0.2"/>
      </iconSet>
    </cfRule>
  </conditionalFormatting>
  <conditionalFormatting sqref="C43">
    <cfRule type="iconSet" priority="6">
      <iconSet iconSet="4Arrows">
        <cfvo type="percent" val="0"/>
        <cfvo type="num" val="-0.2"/>
        <cfvo type="num" val="0"/>
        <cfvo type="num" val="0.2"/>
      </iconSet>
    </cfRule>
  </conditionalFormatting>
  <conditionalFormatting sqref="H43">
    <cfRule type="iconSet" priority="5">
      <iconSet iconSet="4Arrows">
        <cfvo type="percent" val="0"/>
        <cfvo type="num" val="-0.2"/>
        <cfvo type="num" val="0"/>
        <cfvo type="num" val="0.2"/>
      </iconSet>
    </cfRule>
  </conditionalFormatting>
  <conditionalFormatting sqref="M43">
    <cfRule type="iconSet" priority="4">
      <iconSet iconSet="4Arrows">
        <cfvo type="percent" val="0"/>
        <cfvo type="num" val="-0.2"/>
        <cfvo type="num" val="0"/>
        <cfvo type="num" val="0.2"/>
      </iconSet>
    </cfRule>
  </conditionalFormatting>
  <conditionalFormatting sqref="R43">
    <cfRule type="iconSet" priority="3">
      <iconSet iconSet="4Arrows">
        <cfvo type="percent" val="0"/>
        <cfvo type="num" val="-0.2"/>
        <cfvo type="num" val="0"/>
        <cfvo type="num" val="0.2"/>
      </iconSet>
    </cfRule>
  </conditionalFormatting>
  <hyperlinks>
    <hyperlink ref="A76" r:id="rId1"/>
  </hyperlinks>
  <pageMargins left="0.70866141732283472" right="0.70866141732283472" top="0.78740157480314965" bottom="0.78740157480314965" header="0.31496062992125984" footer="0.31496062992125984"/>
  <pageSetup paperSize="9" orientation="landscape" verticalDpi="0" r:id="rId2"/>
  <ignoredErrors>
    <ignoredError sqref="M42 H42" formula="1"/>
  </ignoredError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6"/>
  <sheetViews>
    <sheetView workbookViewId="0">
      <selection activeCell="B2" sqref="B2"/>
    </sheetView>
  </sheetViews>
  <sheetFormatPr defaultRowHeight="15" x14ac:dyDescent="0.25"/>
  <cols>
    <col min="1" max="1" width="19.7109375" customWidth="1"/>
    <col min="2" max="26" width="12.42578125" customWidth="1"/>
  </cols>
  <sheetData>
    <row r="1" spans="1:9" x14ac:dyDescent="0.25">
      <c r="E1" s="11" t="s">
        <v>39</v>
      </c>
    </row>
    <row r="2" spans="1:9" x14ac:dyDescent="0.25">
      <c r="A2" t="s">
        <v>32</v>
      </c>
      <c r="B2" s="8">
        <v>2013</v>
      </c>
      <c r="E2" s="11" t="s">
        <v>40</v>
      </c>
    </row>
    <row r="3" spans="1:9" x14ac:dyDescent="0.25">
      <c r="A3" t="s">
        <v>33</v>
      </c>
      <c r="B3" s="9">
        <v>9</v>
      </c>
      <c r="E3" s="11" t="s">
        <v>41</v>
      </c>
      <c r="I3" s="7"/>
    </row>
    <row r="4" spans="1:9" x14ac:dyDescent="0.25">
      <c r="E4" s="11" t="s">
        <v>34</v>
      </c>
    </row>
    <row r="5" spans="1:9" x14ac:dyDescent="0.25">
      <c r="A5" s="12" t="s">
        <v>33</v>
      </c>
      <c r="B5" s="13" t="str">
        <f>B2&amp;"-"&amp;INDEX(E1:E12,B3)</f>
        <v>2013-09</v>
      </c>
      <c r="E5" s="11" t="s">
        <v>42</v>
      </c>
    </row>
    <row r="6" spans="1:9" x14ac:dyDescent="0.25">
      <c r="A6" s="12" t="s">
        <v>35</v>
      </c>
      <c r="B6" s="13" t="str">
        <f>(B2-1)&amp;"-"&amp;INDEX(E1:E12,B3)</f>
        <v>2012-09</v>
      </c>
      <c r="E6" s="11" t="s">
        <v>43</v>
      </c>
    </row>
    <row r="7" spans="1:9" x14ac:dyDescent="0.25">
      <c r="A7" s="1"/>
      <c r="B7" s="6"/>
      <c r="C7" s="10"/>
      <c r="E7" s="11" t="s">
        <v>36</v>
      </c>
    </row>
    <row r="8" spans="1:9" x14ac:dyDescent="0.25">
      <c r="E8" s="11" t="s">
        <v>44</v>
      </c>
    </row>
    <row r="9" spans="1:9" x14ac:dyDescent="0.25">
      <c r="E9" s="11" t="s">
        <v>45</v>
      </c>
    </row>
    <row r="10" spans="1:9" x14ac:dyDescent="0.25">
      <c r="E10" s="11" t="s">
        <v>46</v>
      </c>
    </row>
    <row r="11" spans="1:9" x14ac:dyDescent="0.25">
      <c r="E11" s="11" t="s">
        <v>47</v>
      </c>
    </row>
    <row r="12" spans="1:9" x14ac:dyDescent="0.25">
      <c r="E12" s="11" t="s">
        <v>37</v>
      </c>
    </row>
    <row r="22" spans="1:26" x14ac:dyDescent="0.25">
      <c r="A22" s="12" t="s">
        <v>38</v>
      </c>
      <c r="B22" s="13" t="str">
        <f>B2&amp;"-"&amp;INDEX(E1:E12,B3)</f>
        <v>2013-09</v>
      </c>
      <c r="C22" s="13" t="str">
        <f>IF(B3&gt;1,B2&amp;"-"&amp;INDEX(E1:E12,B3-1),(B2-1)&amp;"-"&amp;INDEX(E1:E12,E12))</f>
        <v>2013-08</v>
      </c>
      <c r="D22" s="13" t="str">
        <f>IF(B3&gt;2,B2&amp;"-"&amp;INDEX(E1:E12,B3-2),(B2-1)&amp;"-"&amp;INDEX(E1:E12,(E10+B3)))</f>
        <v>2013-07</v>
      </c>
      <c r="E22" s="13" t="str">
        <f>IF(B3&gt;3,B2&amp;"-"&amp;INDEX(E1:E12,B3-3),(B2-1)&amp;"-"&amp;INDEX(E1:E12,(E9+B3)))</f>
        <v>2013-06</v>
      </c>
      <c r="F22" s="13" t="str">
        <f>IF(B3&gt;4,B2&amp;"-"&amp;INDEX(E1:E12,B3-4),(B2-1)&amp;"-"&amp;INDEX(E1:E12,(E8+B3)))</f>
        <v>2013-05</v>
      </c>
      <c r="G22" s="13" t="str">
        <f>IF(B3&gt;5,B2&amp;"-"&amp;INDEX(E1:E12,B3-5),(B2-1)&amp;"-"&amp;INDEX(E1:E12,(E7+B3)))</f>
        <v>2013-04</v>
      </c>
      <c r="H22" s="13" t="str">
        <f>IF(B3&gt;6,B2&amp;"-"&amp;INDEX(E1:E12,B3-6),(B2-1)&amp;"-"&amp;INDEX(E1:E12,(E6+B3)))</f>
        <v>2013-03</v>
      </c>
      <c r="I22" s="13" t="str">
        <f>IF(B3&gt;7,B2&amp;"-"&amp;INDEX(E1:E12,B3-7),(B2-1)&amp;"-"&amp;INDEX(E1:E12,(E5+B3)))</f>
        <v>2013-02</v>
      </c>
      <c r="J22" s="13" t="str">
        <f>IF(B3&gt;8,B2&amp;"-"&amp;INDEX(E1:E12,B3-8),(B2-1)&amp;"-"&amp;INDEX(E1:E12,(E4+B3)))</f>
        <v>2013-01</v>
      </c>
      <c r="K22" s="13" t="str">
        <f>IF(B3&gt;9,B2&amp;"-"&amp;INDEX(E1:E12,B3-9),(B2-1)&amp;"-"&amp;INDEX(E1:E12,(E3+B3)))</f>
        <v>2012-12</v>
      </c>
      <c r="L22" s="13" t="str">
        <f>IF(B3&gt;10,B2&amp;"-"&amp;INDEX(E1:E12,B3-10),(B2-1)&amp;"-"&amp;INDEX(E1:E12,(E2+B3)))</f>
        <v>2012-11</v>
      </c>
      <c r="M22" s="13" t="str">
        <f>IF(B3&gt;11,B2&amp;"-"&amp;INDEX(E1:E12,B3-11),(B2-1)&amp;"-"&amp;INDEX(E1:E12,(E1+B3)))</f>
        <v>2012-10</v>
      </c>
      <c r="N22" s="13" t="str">
        <f>IF(B3&gt;12,B2&amp;"-"&amp;INDEX(E1:E12,B3-12),(B2-1)&amp;"-"&amp;INDEX(E1:E12,(B3)))</f>
        <v>2012-09</v>
      </c>
      <c r="O22" s="13" t="str">
        <f>IF(B3&gt;1,(B2-1)&amp;"-"&amp;INDEX(E1:E12,B3-1),(B2-2)&amp;"-"&amp;INDEX(E1:E12,E12))</f>
        <v>2012-08</v>
      </c>
      <c r="P22" s="13" t="str">
        <f>IF(B3&gt;2,(B2-1)&amp;"-"&amp;INDEX(E1:E12,B3-2),(B2-2)&amp;"-"&amp;INDEX(E1:E12,(E10+B3)))</f>
        <v>2012-07</v>
      </c>
      <c r="Q22" s="13" t="str">
        <f>IF(B3&gt;3,(B2-1)&amp;"-"&amp;INDEX(E1:E12,B3-3),(B2-2)&amp;"-"&amp;INDEX(E1:E12,(E9+B3)))</f>
        <v>2012-06</v>
      </c>
      <c r="R22" s="13" t="str">
        <f>IF(B3&gt;4,(B2-1)&amp;"-"&amp;INDEX(E1:E12,B3-4),(B2-2)&amp;"-"&amp;INDEX(E1:E12,(E8+B3)))</f>
        <v>2012-05</v>
      </c>
      <c r="S22" s="13" t="str">
        <f>IF(B3&gt;5,(B2-1)&amp;"-"&amp;INDEX(E1:E12,B3-5),(B2-2)&amp;"-"&amp;INDEX(E1:E12,(E7+B3)))</f>
        <v>2012-04</v>
      </c>
      <c r="T22" s="13" t="str">
        <f>IF(B3&gt;6,(B2-1)&amp;"-"&amp;INDEX(E1:E12,B3-6),(B2-2)&amp;"-"&amp;INDEX(E1:E12,(E6+B3)))</f>
        <v>2012-03</v>
      </c>
      <c r="U22" s="13" t="str">
        <f>IF(B3&gt;7,(B2-1)&amp;"-"&amp;INDEX(E1:E12,B3-7),(B2-2)&amp;"-"&amp;INDEX(E1:E12,(E5+B3)))</f>
        <v>2012-02</v>
      </c>
      <c r="V22" s="13" t="str">
        <f>IF(B3&gt;8,(B2-1)&amp;"-"&amp;INDEX(E1:E12,B3-8),(B2-2)&amp;"-"&amp;INDEX(E1:E12,(E4+B3)))</f>
        <v>2012-01</v>
      </c>
      <c r="W22" s="13" t="str">
        <f>IF(B3&gt;9,(B2-1)&amp;"-"&amp;INDEX(E1:E12,B3-9),(B2-2)&amp;"-"&amp;INDEX(E1:E12,(E3+B3)))</f>
        <v>2011-12</v>
      </c>
      <c r="X22" s="13" t="str">
        <f>IF(B3&gt;10,(B2-1)&amp;"-"&amp;INDEX(E1:E12,B3-10),(B2-2)&amp;"-"&amp;INDEX(E1:E12,(E2+B3)))</f>
        <v>2011-11</v>
      </c>
      <c r="Y22" s="13" t="str">
        <f>IF(B3&gt;11,(B2-1)&amp;"-"&amp;INDEX(E1:E12,B3-11),(B2-2)&amp;"-"&amp;INDEX(E1:E12,(E1+B3)))</f>
        <v>2011-10</v>
      </c>
      <c r="Z22" s="13" t="str">
        <f>IF(B3&gt;12,(B2-1)&amp;"-"&amp;INDEX(E1:E12,B3-12),(B2-2)&amp;"-"&amp;INDEX(E1:E12,(B3)))</f>
        <v>2011-09</v>
      </c>
    </row>
    <row r="23" spans="1:26" x14ac:dyDescent="0.25">
      <c r="A23" s="14" t="s">
        <v>0</v>
      </c>
      <c r="B23" s="15">
        <f>HLOOKUP(B22,'data-sem'!1:1048576,2)</f>
        <v>236874.19029893522</v>
      </c>
      <c r="C23" s="15">
        <f>HLOOKUP(C22,'data-sem'!1:1048576,2)</f>
        <v>273927.20323677547</v>
      </c>
      <c r="D23" s="15">
        <f>HLOOKUP(D22,'data-sem'!1:1048576,2)</f>
        <v>300977.29365931422</v>
      </c>
      <c r="E23" s="15">
        <f>HLOOKUP(E22,'data-sem'!1:1048576,2)</f>
        <v>253388.1492576765</v>
      </c>
      <c r="F23" s="15">
        <f>HLOOKUP(F22,'data-sem'!1:1048576,2)</f>
        <v>272171.6258886978</v>
      </c>
      <c r="G23" s="15">
        <f>HLOOKUP(G22,'data-sem'!1:1048576,2)</f>
        <v>253551.3786209414</v>
      </c>
      <c r="H23" s="15">
        <f>HLOOKUP(H22,'data-sem'!1:1048576,2)</f>
        <v>224330.26516402839</v>
      </c>
      <c r="I23" s="15">
        <f>HLOOKUP(I22,'data-sem'!1:1048576,2)</f>
        <v>202099.70883003296</v>
      </c>
      <c r="J23" s="15">
        <f>HLOOKUP(J22,'data-sem'!1:1048576,2)</f>
        <v>302334.57145454793</v>
      </c>
      <c r="K23" s="15">
        <f>HLOOKUP(K22,'data-sem'!1:1048576,2)</f>
        <v>309457.89869520633</v>
      </c>
      <c r="L23" s="15">
        <f>HLOOKUP(L22,'data-sem'!1:1048576,2)</f>
        <v>329350.95249983104</v>
      </c>
      <c r="M23" s="15">
        <f>HLOOKUP(M22,'data-sem'!1:1048576,2)</f>
        <v>275706.10255108646</v>
      </c>
      <c r="N23" s="15">
        <f>HLOOKUP(N22,'data-sem'!1:1048576,2)</f>
        <v>219079.55931454146</v>
      </c>
      <c r="O23" s="15">
        <f>HLOOKUP(O22,'data-sem'!1:1048576,2)</f>
        <v>211783.96122869905</v>
      </c>
      <c r="P23" s="15">
        <f>HLOOKUP(P22,'data-sem'!1:1048576,2)</f>
        <v>228412.62486512095</v>
      </c>
      <c r="Q23" s="15">
        <f>HLOOKUP(Q22,'data-sem'!1:1048576,2)</f>
        <v>258127.52860899371</v>
      </c>
      <c r="R23" s="15">
        <f>HLOOKUP(R22,'data-sem'!1:1048576,2)</f>
        <v>262486.25861623732</v>
      </c>
      <c r="S23" s="15">
        <f>HLOOKUP(S22,'data-sem'!1:1048576,2)</f>
        <v>247288.25782432366</v>
      </c>
      <c r="T23" s="15">
        <f>HLOOKUP(T22,'data-sem'!1:1048576,2)</f>
        <v>293408.45393242186</v>
      </c>
      <c r="U23" s="15">
        <f>HLOOKUP(U22,'data-sem'!1:1048576,2)</f>
        <v>340700.16779380722</v>
      </c>
      <c r="V23" s="15">
        <f>HLOOKUP(V22,'data-sem'!1:1048576,2)</f>
        <v>294964.13362251525</v>
      </c>
      <c r="W23" s="15">
        <f>HLOOKUP(W22,'data-sem'!1:1048576,2)</f>
        <v>359408.82739005343</v>
      </c>
      <c r="X23" s="15">
        <f>HLOOKUP(X22,'data-sem'!1:1048576,2)</f>
        <v>282799.20436451142</v>
      </c>
      <c r="Y23" s="15">
        <f>HLOOKUP(Y22,'data-sem'!1:1048576,2)</f>
        <v>312937.82923610043</v>
      </c>
      <c r="Z23" s="15">
        <f>HLOOKUP(Z22,'data-sem'!1:1048576,2)</f>
        <v>259182.99575822023</v>
      </c>
    </row>
    <row r="24" spans="1:26" x14ac:dyDescent="0.25">
      <c r="A24" s="14" t="s">
        <v>1</v>
      </c>
      <c r="B24" s="15">
        <f>HLOOKUP(B22,'data-sem'!1:1048576,3)</f>
        <v>4030.3621809508832</v>
      </c>
      <c r="C24" s="15">
        <f>HLOOKUP(C22,'data-sem'!1:1048576,3)</f>
        <v>4013.3592037143926</v>
      </c>
      <c r="D24" s="15">
        <f>HLOOKUP(D22,'data-sem'!1:1048576,3)</f>
        <v>5975.6024233546095</v>
      </c>
      <c r="E24" s="15">
        <f>HLOOKUP(E22,'data-sem'!1:1048576,3)</f>
        <v>4291.2784544376391</v>
      </c>
      <c r="F24" s="15">
        <f>HLOOKUP(F22,'data-sem'!1:1048576,3)</f>
        <v>4139.253368002931</v>
      </c>
      <c r="G24" s="15">
        <f>HLOOKUP(G22,'data-sem'!1:1048576,3)</f>
        <v>4637.1529333406843</v>
      </c>
      <c r="H24" s="15">
        <f>HLOOKUP(H22,'data-sem'!1:1048576,3)</f>
        <v>4116.2655511659786</v>
      </c>
      <c r="I24" s="15">
        <f>HLOOKUP(I22,'data-sem'!1:1048576,3)</f>
        <v>3691.8293032904539</v>
      </c>
      <c r="J24" s="15">
        <f>HLOOKUP(J22,'data-sem'!1:1048576,3)</f>
        <v>4647.2899155403893</v>
      </c>
      <c r="K24" s="15">
        <f>HLOOKUP(K22,'data-sem'!1:1048576,3)</f>
        <v>6498.0563986963762</v>
      </c>
      <c r="L24" s="15">
        <f>HLOOKUP(L22,'data-sem'!1:1048576,3)</f>
        <v>5802.2784283342462</v>
      </c>
      <c r="M24" s="15">
        <f>HLOOKUP(M22,'data-sem'!1:1048576,3)</f>
        <v>5613.5092584437134</v>
      </c>
      <c r="N24" s="15">
        <f>HLOOKUP(N22,'data-sem'!1:1048576,3)</f>
        <v>3357.4838358702168</v>
      </c>
      <c r="O24" s="15">
        <f>HLOOKUP(O22,'data-sem'!1:1048576,3)</f>
        <v>4371.5635288850626</v>
      </c>
      <c r="P24" s="15">
        <f>HLOOKUP(P22,'data-sem'!1:1048576,3)</f>
        <v>4317.0639671233203</v>
      </c>
      <c r="Q24" s="15">
        <f>HLOOKUP(Q22,'data-sem'!1:1048576,3)</f>
        <v>4526.0366671382435</v>
      </c>
      <c r="R24" s="15">
        <f>HLOOKUP(R22,'data-sem'!1:1048576,3)</f>
        <v>4795.0268465030531</v>
      </c>
      <c r="S24" s="15">
        <f>HLOOKUP(S22,'data-sem'!1:1048576,3)</f>
        <v>3576.7472171729246</v>
      </c>
      <c r="T24" s="15">
        <f>HLOOKUP(T22,'data-sem'!1:1048576,3)</f>
        <v>4099.2263776107484</v>
      </c>
      <c r="U24" s="15">
        <f>HLOOKUP(U22,'data-sem'!1:1048576,3)</f>
        <v>4664.2789572305037</v>
      </c>
      <c r="V24" s="15">
        <f>HLOOKUP(V22,'data-sem'!1:1048576,3)</f>
        <v>5739.6203549920083</v>
      </c>
      <c r="W24" s="15">
        <f>HLOOKUP(W22,'data-sem'!1:1048576,3)</f>
        <v>8076.0450361772819</v>
      </c>
      <c r="X24" s="15">
        <f>HLOOKUP(X22,'data-sem'!1:1048576,3)</f>
        <v>6174.6797286259871</v>
      </c>
      <c r="Y24" s="15">
        <f>HLOOKUP(Y22,'data-sem'!1:1048576,3)</f>
        <v>5880.3301163259484</v>
      </c>
      <c r="Z24" s="15">
        <f>HLOOKUP(Z22,'data-sem'!1:1048576,3)</f>
        <v>4196.5432271161799</v>
      </c>
    </row>
    <row r="25" spans="1:26" x14ac:dyDescent="0.25">
      <c r="A25" s="14" t="s">
        <v>2</v>
      </c>
      <c r="B25" s="16">
        <f>HLOOKUP(B22,'data-sem'!1:1048576,5)</f>
        <v>5732651.6271258974</v>
      </c>
      <c r="C25" s="16">
        <f>HLOOKUP(C22,'data-sem'!1:1048576,5)</f>
        <v>8613068.6410574745</v>
      </c>
      <c r="D25" s="16">
        <f>HLOOKUP(D22,'data-sem'!1:1048576,5)</f>
        <v>10117909.344171729</v>
      </c>
      <c r="E25" s="16">
        <f>HLOOKUP(E22,'data-sem'!1:1048576,5)</f>
        <v>5690875.5160267651</v>
      </c>
      <c r="F25" s="16">
        <f>HLOOKUP(F22,'data-sem'!1:1048576,5)</f>
        <v>5329917.5062825587</v>
      </c>
      <c r="G25" s="16">
        <f>HLOOKUP(G22,'data-sem'!1:1048576,5)</f>
        <v>6888437.3192536756</v>
      </c>
      <c r="H25" s="16">
        <f>HLOOKUP(H22,'data-sem'!1:1048576,5)</f>
        <v>5927628.751073245</v>
      </c>
      <c r="I25" s="16">
        <f>HLOOKUP(I22,'data-sem'!1:1048576,5)</f>
        <v>5362049.4908932131</v>
      </c>
      <c r="J25" s="16">
        <f>HLOOKUP(J22,'data-sem'!1:1048576,5)</f>
        <v>7459715.9008394042</v>
      </c>
      <c r="K25" s="16">
        <f>HLOOKUP(K22,'data-sem'!1:1048576,5)</f>
        <v>8776518.8460085019</v>
      </c>
      <c r="L25" s="16">
        <f>HLOOKUP(L22,'data-sem'!1:1048576,5)</f>
        <v>7870739.3513646908</v>
      </c>
      <c r="M25" s="16">
        <f>HLOOKUP(M22,'data-sem'!1:1048576,5)</f>
        <v>7625258.1607867638</v>
      </c>
      <c r="N25" s="16">
        <f>HLOOKUP(N22,'data-sem'!1:1048576,5)</f>
        <v>4853668.767344987</v>
      </c>
      <c r="O25" s="16">
        <f>HLOOKUP(O22,'data-sem'!1:1048576,5)</f>
        <v>6795866.6386971883</v>
      </c>
      <c r="P25" s="16">
        <f>HLOOKUP(P22,'data-sem'!1:1048576,5)</f>
        <v>7273887.0403815582</v>
      </c>
      <c r="Q25" s="16">
        <f>HLOOKUP(Q22,'data-sem'!1:1048576,5)</f>
        <v>8104093.6022918709</v>
      </c>
      <c r="R25" s="16">
        <f>HLOOKUP(R22,'data-sem'!1:1048576,5)</f>
        <v>6436799.6306412034</v>
      </c>
      <c r="S25" s="16">
        <f>HLOOKUP(S22,'data-sem'!1:1048576,5)</f>
        <v>6060213.5957851447</v>
      </c>
      <c r="T25" s="16">
        <f>HLOOKUP(T22,'data-sem'!1:1048576,5)</f>
        <v>8007332.5507222302</v>
      </c>
      <c r="U25" s="16">
        <f>HLOOKUP(U22,'data-sem'!1:1048576,5)</f>
        <v>6929551.8627636638</v>
      </c>
      <c r="V25" s="16">
        <f>HLOOKUP(V22,'data-sem'!1:1048576,5)</f>
        <v>6082847.5399525799</v>
      </c>
      <c r="W25" s="16">
        <f>HLOOKUP(W22,'data-sem'!1:1048576,5)</f>
        <v>7148919.5873548137</v>
      </c>
      <c r="X25" s="16">
        <f>HLOOKUP(X22,'data-sem'!1:1048576,5)</f>
        <v>7509243.464232482</v>
      </c>
      <c r="Y25" s="16">
        <f>HLOOKUP(Y22,'data-sem'!1:1048576,5)</f>
        <v>7072228.8479274716</v>
      </c>
      <c r="Z25" s="16">
        <f>HLOOKUP(Z22,'data-sem'!1:1048576,5)</f>
        <v>5612646.0578581598</v>
      </c>
    </row>
    <row r="26" spans="1:26" x14ac:dyDescent="0.25">
      <c r="A26" s="14" t="s">
        <v>3</v>
      </c>
      <c r="B26" s="17">
        <f>B24/B23</f>
        <v>1.7014779769229254E-2</v>
      </c>
      <c r="C26" s="17">
        <f t="shared" ref="C26:Z26" si="0">C24/C23</f>
        <v>1.4651188915492086E-2</v>
      </c>
      <c r="D26" s="17">
        <f t="shared" si="0"/>
        <v>1.9853997458421511E-2</v>
      </c>
      <c r="E26" s="17">
        <f t="shared" si="0"/>
        <v>1.6935592556358011E-2</v>
      </c>
      <c r="F26" s="17">
        <f t="shared" si="0"/>
        <v>1.5208247202431168E-2</v>
      </c>
      <c r="G26" s="17">
        <f t="shared" si="0"/>
        <v>1.8288809781126115E-2</v>
      </c>
      <c r="H26" s="17">
        <f t="shared" si="0"/>
        <v>1.8349131572399292E-2</v>
      </c>
      <c r="I26" s="17">
        <f t="shared" si="0"/>
        <v>1.826736577040447E-2</v>
      </c>
      <c r="J26" s="17">
        <f t="shared" si="0"/>
        <v>1.5371348017469609E-2</v>
      </c>
      <c r="K26" s="17">
        <f t="shared" si="0"/>
        <v>2.0998192083946425E-2</v>
      </c>
      <c r="L26" s="17">
        <f t="shared" si="0"/>
        <v>1.7617311819789629E-2</v>
      </c>
      <c r="M26" s="17">
        <f t="shared" si="0"/>
        <v>2.0360482435834253E-2</v>
      </c>
      <c r="N26" s="17">
        <f t="shared" si="0"/>
        <v>1.5325408935343622E-2</v>
      </c>
      <c r="O26" s="17">
        <f t="shared" si="0"/>
        <v>2.0641617540453617E-2</v>
      </c>
      <c r="P26" s="17">
        <f t="shared" si="0"/>
        <v>1.890028613642776E-2</v>
      </c>
      <c r="Q26" s="17">
        <f t="shared" si="0"/>
        <v>1.7534110722433605E-2</v>
      </c>
      <c r="R26" s="17">
        <f t="shared" si="0"/>
        <v>1.8267725220288671E-2</v>
      </c>
      <c r="S26" s="17">
        <f t="shared" si="0"/>
        <v>1.4463878101781466E-2</v>
      </c>
      <c r="T26" s="17">
        <f t="shared" si="0"/>
        <v>1.3971057488871423E-2</v>
      </c>
      <c r="U26" s="17">
        <f t="shared" si="0"/>
        <v>1.3690274904863972E-2</v>
      </c>
      <c r="V26" s="17">
        <f t="shared" si="0"/>
        <v>1.9458705994191732E-2</v>
      </c>
      <c r="W26" s="17">
        <f t="shared" si="0"/>
        <v>2.247035804552636E-2</v>
      </c>
      <c r="X26" s="17">
        <f t="shared" si="0"/>
        <v>2.1834148163540061E-2</v>
      </c>
      <c r="Y26" s="17">
        <f t="shared" si="0"/>
        <v>1.8790729553790856E-2</v>
      </c>
      <c r="Z26" s="17">
        <f t="shared" si="0"/>
        <v>1.6191429591434076E-2</v>
      </c>
    </row>
    <row r="27" spans="1:26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x14ac:dyDescent="0.25">
      <c r="A28" s="15" t="s">
        <v>48</v>
      </c>
      <c r="B28" s="15">
        <f>HLOOKUP(B22,'data-sem'!1:1048576,8)</f>
        <v>67254.796128580099</v>
      </c>
      <c r="C28" s="15">
        <f>HLOOKUP(C22,'data-sem'!1:1048576,8)</f>
        <v>67628.705168956119</v>
      </c>
      <c r="D28" s="15">
        <f>HLOOKUP(D22,'data-sem'!1:1048576,8)</f>
        <v>61163.218020243228</v>
      </c>
      <c r="E28" s="15">
        <f>HLOOKUP(E22,'data-sem'!1:1048576,8)</f>
        <v>81793.447129666965</v>
      </c>
      <c r="F28" s="15">
        <f>HLOOKUP(F22,'data-sem'!1:1048576,8)</f>
        <v>90304.186882486058</v>
      </c>
      <c r="G28" s="15">
        <f>HLOOKUP(G22,'data-sem'!1:1048576,8)</f>
        <v>66959.510983824061</v>
      </c>
      <c r="H28" s="15">
        <f>HLOOKUP(H22,'data-sem'!1:1048576,8)</f>
        <v>66704.643397366395</v>
      </c>
      <c r="I28" s="15">
        <f>HLOOKUP(I22,'data-sem'!1:1048576,8)</f>
        <v>79799.250685004503</v>
      </c>
      <c r="J28" s="15">
        <f>HLOOKUP(J22,'data-sem'!1:1048576,8)</f>
        <v>94297.805145445789</v>
      </c>
      <c r="K28" s="15">
        <f>HLOOKUP(K22,'data-sem'!1:1048576,8)</f>
        <v>108978.76545963682</v>
      </c>
      <c r="L28" s="15">
        <f>HLOOKUP(L22,'data-sem'!1:1048576,8)</f>
        <v>99236.506563698524</v>
      </c>
      <c r="M28" s="15">
        <f>HLOOKUP(M22,'data-sem'!1:1048576,8)</f>
        <v>80811.045933507135</v>
      </c>
      <c r="N28" s="15">
        <f>HLOOKUP(N22,'data-sem'!1:1048576,8)</f>
        <v>70470.322270727906</v>
      </c>
      <c r="O28" s="15">
        <f>HLOOKUP(O22,'data-sem'!1:1048576,8)</f>
        <v>53687.036697150113</v>
      </c>
      <c r="P28" s="15">
        <f>HLOOKUP(P22,'data-sem'!1:1048576,8)</f>
        <v>82380.737529712598</v>
      </c>
      <c r="Q28" s="15">
        <f>HLOOKUP(Q22,'data-sem'!1:1048576,8)</f>
        <v>80377.725261953587</v>
      </c>
      <c r="R28" s="15">
        <f>HLOOKUP(R22,'data-sem'!1:1048576,8)</f>
        <v>80156.218503232725</v>
      </c>
      <c r="S28" s="15">
        <f>HLOOKUP(S22,'data-sem'!1:1048576,8)</f>
        <v>86218.631306354539</v>
      </c>
      <c r="T28" s="15">
        <f>HLOOKUP(T22,'data-sem'!1:1048576,8)</f>
        <v>78205.523463715814</v>
      </c>
      <c r="U28" s="15">
        <f>HLOOKUP(U22,'data-sem'!1:1048576,8)</f>
        <v>122182.86486047367</v>
      </c>
      <c r="V28" s="15">
        <f>HLOOKUP(V22,'data-sem'!1:1048576,8)</f>
        <v>78103.011569383685</v>
      </c>
      <c r="W28" s="15">
        <f>HLOOKUP(W22,'data-sem'!1:1048576,8)</f>
        <v>87449.295353422916</v>
      </c>
      <c r="X28" s="15">
        <f>HLOOKUP(X22,'data-sem'!1:1048576,8)</f>
        <v>68371.299986079393</v>
      </c>
      <c r="Y28" s="15">
        <f>HLOOKUP(Y22,'data-sem'!1:1048576,8)</f>
        <v>80064.502495705034</v>
      </c>
      <c r="Z28" s="15">
        <f>HLOOKUP(Z22,'data-sem'!1:1048576,8)</f>
        <v>99656.742747810174</v>
      </c>
    </row>
    <row r="29" spans="1:26" x14ac:dyDescent="0.25">
      <c r="A29" s="15" t="s">
        <v>49</v>
      </c>
      <c r="B29" s="15">
        <f>HLOOKUP(B22,'data-sem'!1:1048576,9)</f>
        <v>1171.7634414936463</v>
      </c>
      <c r="C29" s="15">
        <f>HLOOKUP(C22,'data-sem'!1:1048576,9)</f>
        <v>1051.1497275018683</v>
      </c>
      <c r="D29" s="15">
        <f>HLOOKUP(D22,'data-sem'!1:1048576,9)</f>
        <v>1665.1200265176537</v>
      </c>
      <c r="E29" s="15">
        <f>HLOOKUP(E22,'data-sem'!1:1048576,9)</f>
        <v>1277.3881614305601</v>
      </c>
      <c r="F29" s="15">
        <f>HLOOKUP(F22,'data-sem'!1:1048576,9)</f>
        <v>958.53599812406173</v>
      </c>
      <c r="G29" s="15">
        <f>HLOOKUP(G22,'data-sem'!1:1048576,9)</f>
        <v>1783.5372855110354</v>
      </c>
      <c r="H29" s="15">
        <f>HLOOKUP(H22,'data-sem'!1:1048576,9)</f>
        <v>1185.5963508377886</v>
      </c>
      <c r="I29" s="15">
        <f>HLOOKUP(I22,'data-sem'!1:1048576,9)</f>
        <v>790.12340249134218</v>
      </c>
      <c r="J29" s="15">
        <f>HLOOKUP(J22,'data-sem'!1:1048576,9)</f>
        <v>1061.109895990729</v>
      </c>
      <c r="K29" s="15">
        <f>HLOOKUP(K22,'data-sem'!1:1048576,9)</f>
        <v>1613.0355316069208</v>
      </c>
      <c r="L29" s="15">
        <f>HLOOKUP(L22,'data-sem'!1:1048576,9)</f>
        <v>1373.5186293758613</v>
      </c>
      <c r="M29" s="15">
        <f>HLOOKUP(M22,'data-sem'!1:1048576,9)</f>
        <v>1012.9135641967874</v>
      </c>
      <c r="N29" s="15">
        <f>HLOOKUP(N22,'data-sem'!1:1048576,9)</f>
        <v>979.64155944027198</v>
      </c>
      <c r="O29" s="15">
        <f>HLOOKUP(O22,'data-sem'!1:1048576,9)</f>
        <v>1370.5527258521317</v>
      </c>
      <c r="P29" s="15">
        <f>HLOOKUP(P22,'data-sem'!1:1048576,9)</f>
        <v>860.54138420940171</v>
      </c>
      <c r="Q29" s="15">
        <f>HLOOKUP(Q22,'data-sem'!1:1048576,9)</f>
        <v>1408.5295333702888</v>
      </c>
      <c r="R29" s="15">
        <f>HLOOKUP(R22,'data-sem'!1:1048576,9)</f>
        <v>1662.6518527893645</v>
      </c>
      <c r="S29" s="15">
        <f>HLOOKUP(S22,'data-sem'!1:1048576,9)</f>
        <v>719.79215071305566</v>
      </c>
      <c r="T29" s="15">
        <f>HLOOKUP(T22,'data-sem'!1:1048576,9)</f>
        <v>1275.1140435702716</v>
      </c>
      <c r="U29" s="15">
        <f>HLOOKUP(U22,'data-sem'!1:1048576,9)</f>
        <v>1386.3539428878303</v>
      </c>
      <c r="V29" s="15">
        <f>HLOOKUP(V22,'data-sem'!1:1048576,9)</f>
        <v>1414.8480396407392</v>
      </c>
      <c r="W29" s="15">
        <f>HLOOKUP(W22,'data-sem'!1:1048576,9)</f>
        <v>1927.553410986246</v>
      </c>
      <c r="X29" s="15">
        <f>HLOOKUP(X22,'data-sem'!1:1048576,9)</f>
        <v>2095.2410032518196</v>
      </c>
      <c r="Y29" s="15">
        <f>HLOOKUP(Y22,'data-sem'!1:1048576,9)</f>
        <v>915.9311891106297</v>
      </c>
      <c r="Z29" s="15">
        <f>HLOOKUP(Z22,'data-sem'!1:1048576,9)</f>
        <v>1338.0217617613312</v>
      </c>
    </row>
    <row r="30" spans="1:26" x14ac:dyDescent="0.25">
      <c r="A30" s="16" t="s">
        <v>50</v>
      </c>
      <c r="B30" s="16">
        <f>HLOOKUP(B22,'data-sem'!1:1048576,10)</f>
        <v>1741411.3256157408</v>
      </c>
      <c r="C30" s="16">
        <f>HLOOKUP(C22,'data-sem'!1:1048576,10)</f>
        <v>2084450.0059375125</v>
      </c>
      <c r="D30" s="16">
        <f>HLOOKUP(D22,'data-sem'!1:1048576,10)</f>
        <v>2315645.9019208914</v>
      </c>
      <c r="E30" s="16">
        <f>HLOOKUP(E22,'data-sem'!1:1048576,10)</f>
        <v>1356767.0104299367</v>
      </c>
      <c r="F30" s="16">
        <f>HLOOKUP(F22,'data-sem'!1:1048576,10)</f>
        <v>1227276.4406480754</v>
      </c>
      <c r="G30" s="16">
        <f>HLOOKUP(G22,'data-sem'!1:1048576,10)</f>
        <v>1339163.7570281446</v>
      </c>
      <c r="H30" s="16">
        <f>HLOOKUP(H22,'data-sem'!1:1048576,10)</f>
        <v>1346859.6555919629</v>
      </c>
      <c r="I30" s="16">
        <f>HLOOKUP(I22,'data-sem'!1:1048576,10)</f>
        <v>1589456.4469352737</v>
      </c>
      <c r="J30" s="16">
        <f>HLOOKUP(J22,'data-sem'!1:1048576,10)</f>
        <v>2275561.142202056</v>
      </c>
      <c r="K30" s="16">
        <f>HLOOKUP(K22,'data-sem'!1:1048576,10)</f>
        <v>2556754.3949674726</v>
      </c>
      <c r="L30" s="16">
        <f>HLOOKUP(L22,'data-sem'!1:1048576,10)</f>
        <v>2407538.3640369996</v>
      </c>
      <c r="M30" s="16">
        <f>HLOOKUP(M22,'data-sem'!1:1048576,10)</f>
        <v>1704582.2476397217</v>
      </c>
      <c r="N30" s="16">
        <f>HLOOKUP(N22,'data-sem'!1:1048576,10)</f>
        <v>1128459.8917390101</v>
      </c>
      <c r="O30" s="16">
        <f>HLOOKUP(O22,'data-sem'!1:1048576,10)</f>
        <v>2280523.1246861676</v>
      </c>
      <c r="P30" s="16">
        <f>HLOOKUP(P22,'data-sem'!1:1048576,10)</f>
        <v>2168274.4024570547</v>
      </c>
      <c r="Q30" s="16">
        <f>HLOOKUP(Q22,'data-sem'!1:1048576,10)</f>
        <v>2322866.5389582659</v>
      </c>
      <c r="R30" s="16">
        <f>HLOOKUP(R22,'data-sem'!1:1048576,10)</f>
        <v>1865146.9898658099</v>
      </c>
      <c r="S30" s="16">
        <f>HLOOKUP(S22,'data-sem'!1:1048576,10)</f>
        <v>1354646.5326466509</v>
      </c>
      <c r="T30" s="16">
        <f>HLOOKUP(T22,'data-sem'!1:1048576,10)</f>
        <v>1115182.8012782668</v>
      </c>
      <c r="U30" s="16">
        <f>HLOOKUP(U22,'data-sem'!1:1048576,10)</f>
        <v>1199037.2484804031</v>
      </c>
      <c r="V30" s="16">
        <f>HLOOKUP(V22,'data-sem'!1:1048576,10)</f>
        <v>1133553.058618366</v>
      </c>
      <c r="W30" s="16">
        <f>HLOOKUP(W22,'data-sem'!1:1048576,10)</f>
        <v>1425163.8791495946</v>
      </c>
      <c r="X30" s="16">
        <f>HLOOKUP(X22,'data-sem'!1:1048576,10)</f>
        <v>1803935.2482572517</v>
      </c>
      <c r="Y30" s="16">
        <f>HLOOKUP(Y22,'data-sem'!1:1048576,10)</f>
        <v>1476812.2069699597</v>
      </c>
      <c r="Z30" s="16">
        <f>HLOOKUP(Z22,'data-sem'!1:1048576,10)</f>
        <v>1625663.6408115267</v>
      </c>
    </row>
    <row r="31" spans="1:26" x14ac:dyDescent="0.25">
      <c r="A31" s="17" t="s">
        <v>51</v>
      </c>
      <c r="B31" s="17">
        <f>B29/B28</f>
        <v>1.7422749141242321E-2</v>
      </c>
      <c r="C31" s="17">
        <f t="shared" ref="C31:Z31" si="1">C29/C28</f>
        <v>1.5542952136608137E-2</v>
      </c>
      <c r="D31" s="17">
        <f t="shared" si="1"/>
        <v>2.722420566502155E-2</v>
      </c>
      <c r="E31" s="17">
        <f t="shared" si="1"/>
        <v>1.5617243266511554E-2</v>
      </c>
      <c r="F31" s="17">
        <f t="shared" si="1"/>
        <v>1.0614524433639121E-2</v>
      </c>
      <c r="G31" s="17">
        <f t="shared" si="1"/>
        <v>2.6636056018119646E-2</v>
      </c>
      <c r="H31" s="17">
        <f t="shared" si="1"/>
        <v>1.7773820388710719E-2</v>
      </c>
      <c r="I31" s="17">
        <f t="shared" si="1"/>
        <v>9.9013887437394005E-3</v>
      </c>
      <c r="J31" s="17">
        <f t="shared" si="1"/>
        <v>1.1252752854152474E-2</v>
      </c>
      <c r="K31" s="17">
        <f t="shared" si="1"/>
        <v>1.4801374605444135E-2</v>
      </c>
      <c r="L31" s="17">
        <f t="shared" si="1"/>
        <v>1.3840860354089742E-2</v>
      </c>
      <c r="M31" s="17">
        <f t="shared" si="1"/>
        <v>1.2534345428844369E-2</v>
      </c>
      <c r="N31" s="17">
        <f t="shared" si="1"/>
        <v>1.3901476932044588E-2</v>
      </c>
      <c r="O31" s="17">
        <f t="shared" si="1"/>
        <v>2.5528559782195714E-2</v>
      </c>
      <c r="P31" s="17">
        <f t="shared" si="1"/>
        <v>1.0445905317356825E-2</v>
      </c>
      <c r="Q31" s="17">
        <f t="shared" si="1"/>
        <v>1.7523879019714056E-2</v>
      </c>
      <c r="R31" s="17">
        <f t="shared" si="1"/>
        <v>2.0742643351149472E-2</v>
      </c>
      <c r="S31" s="17">
        <f t="shared" si="1"/>
        <v>8.3484525305843622E-3</v>
      </c>
      <c r="T31" s="17">
        <f t="shared" si="1"/>
        <v>1.6304654544788934E-2</v>
      </c>
      <c r="U31" s="17">
        <f t="shared" si="1"/>
        <v>1.1346549653021908E-2</v>
      </c>
      <c r="V31" s="17">
        <f t="shared" si="1"/>
        <v>1.8115153451974678E-2</v>
      </c>
      <c r="W31" s="17">
        <f t="shared" si="1"/>
        <v>2.2041954748704538E-2</v>
      </c>
      <c r="X31" s="17">
        <f t="shared" si="1"/>
        <v>3.0645036787049787E-2</v>
      </c>
      <c r="Y31" s="17">
        <f t="shared" si="1"/>
        <v>1.1439916074664472E-2</v>
      </c>
      <c r="Z31" s="17">
        <f t="shared" si="1"/>
        <v>1.3426304381102526E-2</v>
      </c>
    </row>
    <row r="32" spans="1:26" x14ac:dyDescent="0.25">
      <c r="A32" s="15" t="s">
        <v>52</v>
      </c>
      <c r="B32" s="15">
        <f>HLOOKUP(B22,'data-sem'!1:1048576,12)</f>
        <v>29616.422423864828</v>
      </c>
      <c r="C32" s="15">
        <f>HLOOKUP(C22,'data-sem'!1:1048576,12)</f>
        <v>32549.001683172672</v>
      </c>
      <c r="D32" s="15">
        <f>HLOOKUP(D22,'data-sem'!1:1048576,12)</f>
        <v>29031.38158930614</v>
      </c>
      <c r="E32" s="15">
        <f>HLOOKUP(E22,'data-sem'!1:1048576,12)</f>
        <v>19551.392041956769</v>
      </c>
      <c r="F32" s="15">
        <f>HLOOKUP(F22,'data-sem'!1:1048576,12)</f>
        <v>32075.194875703433</v>
      </c>
      <c r="G32" s="15">
        <f>HLOOKUP(G22,'data-sem'!1:1048576,12)</f>
        <v>28331.392652258281</v>
      </c>
      <c r="H32" s="15">
        <f>HLOOKUP(H22,'data-sem'!1:1048576,12)</f>
        <v>23502.837087973061</v>
      </c>
      <c r="I32" s="15">
        <f>HLOOKUP(I22,'data-sem'!1:1048576,12)</f>
        <v>36158.346276363045</v>
      </c>
      <c r="J32" s="15">
        <f>HLOOKUP(J22,'data-sem'!1:1048576,12)</f>
        <v>37794.843836497777</v>
      </c>
      <c r="K32" s="15">
        <f>HLOOKUP(K22,'data-sem'!1:1048576,12)</f>
        <v>38119.343199676805</v>
      </c>
      <c r="L32" s="15">
        <f>HLOOKUP(L22,'data-sem'!1:1048576,12)</f>
        <v>35818.886019608632</v>
      </c>
      <c r="M32" s="15">
        <f>HLOOKUP(M22,'data-sem'!1:1048576,12)</f>
        <v>44510.914360256436</v>
      </c>
      <c r="N32" s="15">
        <f>HLOOKUP(N22,'data-sem'!1:1048576,12)</f>
        <v>39970.002038334176</v>
      </c>
      <c r="O32" s="15">
        <f>HLOOKUP(O22,'data-sem'!1:1048576,12)</f>
        <v>37827.508540433249</v>
      </c>
      <c r="P32" s="15">
        <f>HLOOKUP(P22,'data-sem'!1:1048576,12)</f>
        <v>32674.710874757919</v>
      </c>
      <c r="Q32" s="15">
        <f>HLOOKUP(Q22,'data-sem'!1:1048576,12)</f>
        <v>36947.419737551892</v>
      </c>
      <c r="R32" s="15">
        <f>HLOOKUP(R22,'data-sem'!1:1048576,12)</f>
        <v>43730.759480641012</v>
      </c>
      <c r="S32" s="15">
        <f>HLOOKUP(S22,'data-sem'!1:1048576,12)</f>
        <v>40850.38633385572</v>
      </c>
      <c r="T32" s="15">
        <f>HLOOKUP(T22,'data-sem'!1:1048576,12)</f>
        <v>39083.104402019424</v>
      </c>
      <c r="U32" s="15">
        <f>HLOOKUP(U22,'data-sem'!1:1048576,12)</f>
        <v>40833.273183534358</v>
      </c>
      <c r="V32" s="15">
        <f>HLOOKUP(V22,'data-sem'!1:1048576,12)</f>
        <v>42223.129782658245</v>
      </c>
      <c r="W32" s="15">
        <f>HLOOKUP(W22,'data-sem'!1:1048576,12)</f>
        <v>31764.742724966694</v>
      </c>
      <c r="X32" s="15">
        <f>HLOOKUP(X22,'data-sem'!1:1048576,12)</f>
        <v>56795.45913710304</v>
      </c>
      <c r="Y32" s="15">
        <f>HLOOKUP(Y22,'data-sem'!1:1048576,12)</f>
        <v>42174.597653197518</v>
      </c>
      <c r="Z32" s="15">
        <f>HLOOKUP(Z22,'data-sem'!1:1048576,12)</f>
        <v>36371.899265270185</v>
      </c>
    </row>
    <row r="33" spans="1:26" x14ac:dyDescent="0.25">
      <c r="A33" s="15" t="s">
        <v>53</v>
      </c>
      <c r="B33" s="15">
        <f>HLOOKUP(B22,'data-sem'!1:1048576,13)</f>
        <v>530.03943989809648</v>
      </c>
      <c r="C33" s="15">
        <f>HLOOKUP(C22,'data-sem'!1:1048576,13)</f>
        <v>442.87367682849441</v>
      </c>
      <c r="D33" s="15">
        <f>HLOOKUP(D22,'data-sem'!1:1048576,13)</f>
        <v>333.49058720044764</v>
      </c>
      <c r="E33" s="15">
        <f>HLOOKUP(E22,'data-sem'!1:1048576,13)</f>
        <v>300.19255251962494</v>
      </c>
      <c r="F33" s="15">
        <f>HLOOKUP(F22,'data-sem'!1:1048576,13)</f>
        <v>504.18671234746733</v>
      </c>
      <c r="G33" s="15">
        <f>HLOOKUP(G22,'data-sem'!1:1048576,13)</f>
        <v>548.53276364855606</v>
      </c>
      <c r="H33" s="15">
        <f>HLOOKUP(H22,'data-sem'!1:1048576,13)</f>
        <v>538.99403504191309</v>
      </c>
      <c r="I33" s="15">
        <f>HLOOKUP(I22,'data-sem'!1:1048576,13)</f>
        <v>430.71139987196977</v>
      </c>
      <c r="J33" s="15">
        <f>HLOOKUP(J22,'data-sem'!1:1048576,13)</f>
        <v>322.66226855859054</v>
      </c>
      <c r="K33" s="15">
        <f>HLOOKUP(K22,'data-sem'!1:1048576,13)</f>
        <v>696.54814858132522</v>
      </c>
      <c r="L33" s="15">
        <f>HLOOKUP(L22,'data-sem'!1:1048576,13)</f>
        <v>650.68533749846404</v>
      </c>
      <c r="M33" s="15">
        <f>HLOOKUP(M22,'data-sem'!1:1048576,13)</f>
        <v>426.77481155562458</v>
      </c>
      <c r="N33" s="15">
        <f>HLOOKUP(N22,'data-sem'!1:1048576,13)</f>
        <v>307.81312119108958</v>
      </c>
      <c r="O33" s="15">
        <f>HLOOKUP(O22,'data-sem'!1:1048576,13)</f>
        <v>412.826723496292</v>
      </c>
      <c r="P33" s="15">
        <f>HLOOKUP(P22,'data-sem'!1:1048576,13)</f>
        <v>489.41956963871894</v>
      </c>
      <c r="Q33" s="15">
        <f>HLOOKUP(Q22,'data-sem'!1:1048576,13)</f>
        <v>404.79507246743401</v>
      </c>
      <c r="R33" s="15">
        <f>HLOOKUP(R22,'data-sem'!1:1048576,13)</f>
        <v>479.90424440848398</v>
      </c>
      <c r="S33" s="15">
        <f>HLOOKUP(S22,'data-sem'!1:1048576,13)</f>
        <v>460.42121892693876</v>
      </c>
      <c r="T33" s="15">
        <f>HLOOKUP(T22,'data-sem'!1:1048576,13)</f>
        <v>517.00101346691201</v>
      </c>
      <c r="U33" s="15">
        <f>HLOOKUP(U22,'data-sem'!1:1048576,13)</f>
        <v>604.37452091192597</v>
      </c>
      <c r="V33" s="15">
        <f>HLOOKUP(V22,'data-sem'!1:1048576,13)</f>
        <v>469.64694247290015</v>
      </c>
      <c r="W33" s="15">
        <f>HLOOKUP(W22,'data-sem'!1:1048576,13)</f>
        <v>698.87046447742682</v>
      </c>
      <c r="X33" s="15">
        <f>HLOOKUP(X22,'data-sem'!1:1048576,13)</f>
        <v>953.93457760026661</v>
      </c>
      <c r="Y33" s="15">
        <f>HLOOKUP(Y22,'data-sem'!1:1048576,13)</f>
        <v>803.03793372639677</v>
      </c>
      <c r="Z33" s="15">
        <f>HLOOKUP(Z22,'data-sem'!1:1048576,13)</f>
        <v>312.27136334796802</v>
      </c>
    </row>
    <row r="34" spans="1:26" x14ac:dyDescent="0.25">
      <c r="A34" s="16" t="s">
        <v>54</v>
      </c>
      <c r="B34" s="16">
        <f>HLOOKUP(B22,'data-sem'!1:1048576,14)</f>
        <v>708702.74003210186</v>
      </c>
      <c r="C34" s="16">
        <f>HLOOKUP(C22,'data-sem'!1:1048576,14)</f>
        <v>801157.47897449206</v>
      </c>
      <c r="D34" s="16">
        <f>HLOOKUP(D22,'data-sem'!1:1048576,14)</f>
        <v>935273.65733336122</v>
      </c>
      <c r="E34" s="16">
        <f>HLOOKUP(E22,'data-sem'!1:1048576,14)</f>
        <v>574593.35968778038</v>
      </c>
      <c r="F34" s="16">
        <f>HLOOKUP(F22,'data-sem'!1:1048576,14)</f>
        <v>521495.64975364169</v>
      </c>
      <c r="G34" s="16">
        <f>HLOOKUP(G22,'data-sem'!1:1048576,14)</f>
        <v>743074.31636398879</v>
      </c>
      <c r="H34" s="16">
        <f>HLOOKUP(H22,'data-sem'!1:1048576,14)</f>
        <v>690735.03749814595</v>
      </c>
      <c r="I34" s="16">
        <f>HLOOKUP(I22,'data-sem'!1:1048576,14)</f>
        <v>782116.96797166998</v>
      </c>
      <c r="J34" s="16">
        <f>HLOOKUP(J22,'data-sem'!1:1048576,14)</f>
        <v>647006.60661338468</v>
      </c>
      <c r="K34" s="16">
        <f>HLOOKUP(K22,'data-sem'!1:1048576,14)</f>
        <v>814154.25233620009</v>
      </c>
      <c r="L34" s="16">
        <f>HLOOKUP(L22,'data-sem'!1:1048576,14)</f>
        <v>1032652.1276806027</v>
      </c>
      <c r="M34" s="16">
        <f>HLOOKUP(M22,'data-sem'!1:1048576,14)</f>
        <v>551582.30315182277</v>
      </c>
      <c r="N34" s="16">
        <f>HLOOKUP(N22,'data-sem'!1:1048576,14)</f>
        <v>674108.38589499635</v>
      </c>
      <c r="O34" s="16">
        <f>HLOOKUP(O22,'data-sem'!1:1048576,14)</f>
        <v>722351.81904963462</v>
      </c>
      <c r="P34" s="16">
        <f>HLOOKUP(P22,'data-sem'!1:1048576,14)</f>
        <v>622966.23709322442</v>
      </c>
      <c r="Q34" s="16">
        <f>HLOOKUP(Q22,'data-sem'!1:1048576,14)</f>
        <v>534996.10740287381</v>
      </c>
      <c r="R34" s="16">
        <f>HLOOKUP(R22,'data-sem'!1:1048576,14)</f>
        <v>792915.33118729806</v>
      </c>
      <c r="S34" s="16">
        <f>HLOOKUP(S22,'data-sem'!1:1048576,14)</f>
        <v>400427.06250086694</v>
      </c>
      <c r="T34" s="16">
        <f>HLOOKUP(T22,'data-sem'!1:1048576,14)</f>
        <v>592513.68476084224</v>
      </c>
      <c r="U34" s="16">
        <f>HLOOKUP(U22,'data-sem'!1:1048576,14)</f>
        <v>609886.78906661074</v>
      </c>
      <c r="V34" s="16">
        <f>HLOOKUP(V22,'data-sem'!1:1048576,14)</f>
        <v>587205.35424004123</v>
      </c>
      <c r="W34" s="16">
        <f>HLOOKUP(W22,'data-sem'!1:1048576,14)</f>
        <v>579597.41992592893</v>
      </c>
      <c r="X34" s="16">
        <f>HLOOKUP(X22,'data-sem'!1:1048576,14)</f>
        <v>881114.27476319484</v>
      </c>
      <c r="Y34" s="16">
        <f>HLOOKUP(Y22,'data-sem'!1:1048576,14)</f>
        <v>898686.31734889711</v>
      </c>
      <c r="Z34" s="16">
        <f>HLOOKUP(Z22,'data-sem'!1:1048576,14)</f>
        <v>571130.69065419049</v>
      </c>
    </row>
    <row r="35" spans="1:26" s="5" customFormat="1" x14ac:dyDescent="0.25">
      <c r="A35" s="17" t="s">
        <v>55</v>
      </c>
      <c r="B35" s="17">
        <f>B33/B32</f>
        <v>1.7896808477143825E-2</v>
      </c>
      <c r="C35" s="17">
        <f t="shared" ref="C35:Z35" si="2">C33/C32</f>
        <v>1.3606367443750302E-2</v>
      </c>
      <c r="D35" s="17">
        <f t="shared" si="2"/>
        <v>1.1487244800064583E-2</v>
      </c>
      <c r="E35" s="17">
        <f t="shared" si="2"/>
        <v>1.5354024505028577E-2</v>
      </c>
      <c r="F35" s="17">
        <f t="shared" si="2"/>
        <v>1.5718897868002749E-2</v>
      </c>
      <c r="G35" s="17">
        <f t="shared" si="2"/>
        <v>1.9361306038897907E-2</v>
      </c>
      <c r="H35" s="17">
        <f t="shared" si="2"/>
        <v>2.2933147731246824E-2</v>
      </c>
      <c r="I35" s="17">
        <f t="shared" si="2"/>
        <v>1.1911811358295684E-2</v>
      </c>
      <c r="J35" s="17">
        <f t="shared" si="2"/>
        <v>8.5372033802928859E-3</v>
      </c>
      <c r="K35" s="17">
        <f t="shared" si="2"/>
        <v>1.8272826604925105E-2</v>
      </c>
      <c r="L35" s="17">
        <f t="shared" si="2"/>
        <v>1.8165984758494555E-2</v>
      </c>
      <c r="M35" s="17">
        <f t="shared" si="2"/>
        <v>9.58809356512994E-3</v>
      </c>
      <c r="N35" s="17">
        <f t="shared" si="2"/>
        <v>7.7011034649403847E-3</v>
      </c>
      <c r="O35" s="17">
        <f t="shared" si="2"/>
        <v>1.0913399782991993E-2</v>
      </c>
      <c r="P35" s="17">
        <f t="shared" si="2"/>
        <v>1.4978543238367521E-2</v>
      </c>
      <c r="Q35" s="17">
        <f t="shared" si="2"/>
        <v>1.0955976773014445E-2</v>
      </c>
      <c r="R35" s="17">
        <f t="shared" si="2"/>
        <v>1.0974066083186384E-2</v>
      </c>
      <c r="S35" s="17">
        <f t="shared" si="2"/>
        <v>1.1270914677870595E-2</v>
      </c>
      <c r="T35" s="17">
        <f t="shared" si="2"/>
        <v>1.3228248404960343E-2</v>
      </c>
      <c r="U35" s="17">
        <f t="shared" si="2"/>
        <v>1.4801030478145318E-2</v>
      </c>
      <c r="V35" s="17">
        <f t="shared" si="2"/>
        <v>1.1122977971798578E-2</v>
      </c>
      <c r="W35" s="17">
        <f t="shared" si="2"/>
        <v>2.2001452066794904E-2</v>
      </c>
      <c r="X35" s="17">
        <f t="shared" si="2"/>
        <v>1.6795965594669966E-2</v>
      </c>
      <c r="Y35" s="17">
        <f t="shared" si="2"/>
        <v>1.9040796555542562E-2</v>
      </c>
      <c r="Z35" s="17">
        <f t="shared" si="2"/>
        <v>8.5855116080270581E-3</v>
      </c>
    </row>
    <row r="36" spans="1:26" x14ac:dyDescent="0.25">
      <c r="A36" s="15" t="s">
        <v>56</v>
      </c>
      <c r="B36" s="15">
        <f>HLOOKUP(B22,'data-sem'!1:1048576,16)</f>
        <v>45050.98840645561</v>
      </c>
      <c r="C36" s="15">
        <f>HLOOKUP(C22,'data-sem'!1:1048576,16)</f>
        <v>55655.555731890832</v>
      </c>
      <c r="D36" s="15">
        <f>HLOOKUP(D22,'data-sem'!1:1048576,16)</f>
        <v>37986.100247506627</v>
      </c>
      <c r="E36" s="15">
        <f>HLOOKUP(E22,'data-sem'!1:1048576,16)</f>
        <v>37089.626020999334</v>
      </c>
      <c r="F36" s="15">
        <f>HLOOKUP(F22,'data-sem'!1:1048576,16)</f>
        <v>37239.28164198366</v>
      </c>
      <c r="G36" s="15">
        <f>HLOOKUP(G22,'data-sem'!1:1048576,16)</f>
        <v>49514.863535617347</v>
      </c>
      <c r="H36" s="15">
        <f>HLOOKUP(H22,'data-sem'!1:1048576,16)</f>
        <v>36681.91146149463</v>
      </c>
      <c r="I36" s="15">
        <f>HLOOKUP(I22,'data-sem'!1:1048576,16)</f>
        <v>43034.443837203893</v>
      </c>
      <c r="J36" s="15">
        <f>HLOOKUP(J22,'data-sem'!1:1048576,16)</f>
        <v>40752.260423004933</v>
      </c>
      <c r="K36" s="15">
        <f>HLOOKUP(K22,'data-sem'!1:1048576,16)</f>
        <v>60447.00571151152</v>
      </c>
      <c r="L36" s="15">
        <f>HLOOKUP(L22,'data-sem'!1:1048576,16)</f>
        <v>46812.041393181506</v>
      </c>
      <c r="M36" s="15">
        <f>HLOOKUP(M22,'data-sem'!1:1048576,16)</f>
        <v>60224.043145257725</v>
      </c>
      <c r="N36" s="15">
        <f>HLOOKUP(N22,'data-sem'!1:1048576,16)</f>
        <v>54597.570553932397</v>
      </c>
      <c r="O36" s="15">
        <f>HLOOKUP(O22,'data-sem'!1:1048576,16)</f>
        <v>35079.689346529944</v>
      </c>
      <c r="P36" s="15">
        <f>HLOOKUP(P22,'data-sem'!1:1048576,16)</f>
        <v>47856.471314904964</v>
      </c>
      <c r="Q36" s="15">
        <f>HLOOKUP(Q22,'data-sem'!1:1048576,16)</f>
        <v>56496.57693635075</v>
      </c>
      <c r="R36" s="15">
        <f>HLOOKUP(R22,'data-sem'!1:1048576,16)</f>
        <v>42652.142615861812</v>
      </c>
      <c r="S36" s="15">
        <f>HLOOKUP(S22,'data-sem'!1:1048576,16)</f>
        <v>35725.37721434555</v>
      </c>
      <c r="T36" s="15">
        <f>HLOOKUP(T22,'data-sem'!1:1048576,16)</f>
        <v>46821.878413063489</v>
      </c>
      <c r="U36" s="15">
        <f>HLOOKUP(U22,'data-sem'!1:1048576,16)</f>
        <v>57216.33014911873</v>
      </c>
      <c r="V36" s="15">
        <f>HLOOKUP(V22,'data-sem'!1:1048576,16)</f>
        <v>47527.826231162449</v>
      </c>
      <c r="W36" s="15">
        <f>HLOOKUP(W22,'data-sem'!1:1048576,16)</f>
        <v>36385.597457245036</v>
      </c>
      <c r="X36" s="15">
        <f>HLOOKUP(X22,'data-sem'!1:1048576,16)</f>
        <v>37736.650128586145</v>
      </c>
      <c r="Y36" s="15">
        <f>HLOOKUP(Y22,'data-sem'!1:1048576,16)</f>
        <v>53731.594009325476</v>
      </c>
      <c r="Z36" s="15">
        <f>HLOOKUP(Z22,'data-sem'!1:1048576,16)</f>
        <v>44929.727676830684</v>
      </c>
    </row>
    <row r="37" spans="1:26" x14ac:dyDescent="0.25">
      <c r="A37" s="15" t="s">
        <v>57</v>
      </c>
      <c r="B37" s="15">
        <f>HLOOKUP(B22,'data-sem'!1:1048576,17)</f>
        <v>602.5925256963003</v>
      </c>
      <c r="C37" s="15">
        <f>HLOOKUP(C22,'data-sem'!1:1048576,17)</f>
        <v>813.65631348772638</v>
      </c>
      <c r="D37" s="15">
        <f>HLOOKUP(D22,'data-sem'!1:1048576,17)</f>
        <v>1026.6002268989353</v>
      </c>
      <c r="E37" s="15">
        <f>HLOOKUP(E22,'data-sem'!1:1048576,17)</f>
        <v>674.55478521753275</v>
      </c>
      <c r="F37" s="15">
        <f>HLOOKUP(F22,'data-sem'!1:1048576,17)</f>
        <v>896.73432968515419</v>
      </c>
      <c r="G37" s="15">
        <f>HLOOKUP(G22,'data-sem'!1:1048576,17)</f>
        <v>571.8143857870997</v>
      </c>
      <c r="H37" s="15">
        <f>HLOOKUP(H22,'data-sem'!1:1048576,17)</f>
        <v>544.75513614776412</v>
      </c>
      <c r="I37" s="15">
        <f>HLOOKUP(I22,'data-sem'!1:1048576,17)</f>
        <v>646.98400962435426</v>
      </c>
      <c r="J37" s="15">
        <f>HLOOKUP(J22,'data-sem'!1:1048576,17)</f>
        <v>893.851955333668</v>
      </c>
      <c r="K37" s="15">
        <f>HLOOKUP(K22,'data-sem'!1:1048576,17)</f>
        <v>1223.4575716097934</v>
      </c>
      <c r="L37" s="15">
        <f>HLOOKUP(L22,'data-sem'!1:1048576,17)</f>
        <v>980.68820677270742</v>
      </c>
      <c r="M37" s="15">
        <f>HLOOKUP(M22,'data-sem'!1:1048576,17)</f>
        <v>1031.0268562485467</v>
      </c>
      <c r="N37" s="15">
        <f>HLOOKUP(N22,'data-sem'!1:1048576,17)</f>
        <v>483.81539096667774</v>
      </c>
      <c r="O37" s="15">
        <f>HLOOKUP(O22,'data-sem'!1:1048576,17)</f>
        <v>510.55246729233249</v>
      </c>
      <c r="P37" s="15">
        <f>HLOOKUP(P22,'data-sem'!1:1048576,17)</f>
        <v>624.29145007452371</v>
      </c>
      <c r="Q37" s="15">
        <f>HLOOKUP(Q22,'data-sem'!1:1048576,17)</f>
        <v>529.67977641141351</v>
      </c>
      <c r="R37" s="15">
        <f>HLOOKUP(R22,'data-sem'!1:1048576,17)</f>
        <v>576.22727051436891</v>
      </c>
      <c r="S37" s="15">
        <f>HLOOKUP(S22,'data-sem'!1:1048576,17)</f>
        <v>790.96269260999304</v>
      </c>
      <c r="T37" s="15">
        <f>HLOOKUP(T22,'data-sem'!1:1048576,17)</f>
        <v>526.41410950941963</v>
      </c>
      <c r="U37" s="15">
        <f>HLOOKUP(U22,'data-sem'!1:1048576,17)</f>
        <v>687.0382586416714</v>
      </c>
      <c r="V37" s="15">
        <f>HLOOKUP(V22,'data-sem'!1:1048576,17)</f>
        <v>565.59961203166711</v>
      </c>
      <c r="W37" s="15">
        <f>HLOOKUP(W22,'data-sem'!1:1048576,17)</f>
        <v>883.61086450138225</v>
      </c>
      <c r="X37" s="15">
        <f>HLOOKUP(X22,'data-sem'!1:1048576,17)</f>
        <v>1095.12523503437</v>
      </c>
      <c r="Y37" s="15">
        <f>HLOOKUP(Y22,'data-sem'!1:1048576,17)</f>
        <v>683.27831161861616</v>
      </c>
      <c r="Z37" s="15">
        <f>HLOOKUP(Z22,'data-sem'!1:1048576,17)</f>
        <v>423.31570278884442</v>
      </c>
    </row>
    <row r="38" spans="1:26" x14ac:dyDescent="0.25">
      <c r="A38" s="16" t="s">
        <v>58</v>
      </c>
      <c r="B38" s="16">
        <f>HLOOKUP(B22,'data-sem'!1:1048576,18)</f>
        <v>1162290.6163499961</v>
      </c>
      <c r="C38" s="16">
        <f>HLOOKUP(C22,'data-sem'!1:1048576,18)</f>
        <v>1680993.9220371477</v>
      </c>
      <c r="D38" s="16">
        <f>HLOOKUP(D22,'data-sem'!1:1048576,18)</f>
        <v>1551806.0099342768</v>
      </c>
      <c r="E38" s="16">
        <f>HLOOKUP(E22,'data-sem'!1:1048576,18)</f>
        <v>671056.77542727289</v>
      </c>
      <c r="F38" s="16">
        <f>HLOOKUP(F22,'data-sem'!1:1048576,18)</f>
        <v>792843.2070570325</v>
      </c>
      <c r="G38" s="16">
        <f>HLOOKUP(G22,'data-sem'!1:1048576,18)</f>
        <v>805102.9706185949</v>
      </c>
      <c r="H38" s="16">
        <f>HLOOKUP(H22,'data-sem'!1:1048576,18)</f>
        <v>1387209.1971079265</v>
      </c>
      <c r="I38" s="16">
        <f>HLOOKUP(I22,'data-sem'!1:1048576,18)</f>
        <v>638082.39485371462</v>
      </c>
      <c r="J38" s="16">
        <f>HLOOKUP(J22,'data-sem'!1:1048576,18)</f>
        <v>1101045.5432050286</v>
      </c>
      <c r="K38" s="16">
        <f>HLOOKUP(K22,'data-sem'!1:1048576,18)</f>
        <v>1658971.5421089423</v>
      </c>
      <c r="L38" s="16">
        <f>HLOOKUP(L22,'data-sem'!1:1048576,18)</f>
        <v>1058167.8065360028</v>
      </c>
      <c r="M38" s="16">
        <f>HLOOKUP(M22,'data-sem'!1:1048576,18)</f>
        <v>851359.67868710554</v>
      </c>
      <c r="N38" s="16">
        <f>HLOOKUP(N22,'data-sem'!1:1048576,18)</f>
        <v>944318.03051449556</v>
      </c>
      <c r="O38" s="16">
        <f>HLOOKUP(O22,'data-sem'!1:1048576,18)</f>
        <v>1139051.9295324751</v>
      </c>
      <c r="P38" s="16">
        <f>HLOOKUP(P22,'data-sem'!1:1048576,18)</f>
        <v>1166128.609424598</v>
      </c>
      <c r="Q38" s="16">
        <f>HLOOKUP(Q22,'data-sem'!1:1048576,18)</f>
        <v>996755.06267069408</v>
      </c>
      <c r="R38" s="16">
        <f>HLOOKUP(R22,'data-sem'!1:1048576,18)</f>
        <v>1182079.8720662445</v>
      </c>
      <c r="S38" s="16">
        <f>HLOOKUP(S22,'data-sem'!1:1048576,18)</f>
        <v>801168.57841673889</v>
      </c>
      <c r="T38" s="16">
        <f>HLOOKUP(T22,'data-sem'!1:1048576,18)</f>
        <v>1232284.2289956678</v>
      </c>
      <c r="U38" s="16">
        <f>HLOOKUP(U22,'data-sem'!1:1048576,18)</f>
        <v>1224576.752410532</v>
      </c>
      <c r="V38" s="16">
        <f>HLOOKUP(V22,'data-sem'!1:1048576,18)</f>
        <v>1251955.3734767933</v>
      </c>
      <c r="W38" s="16">
        <f>HLOOKUP(W22,'data-sem'!1:1048576,18)</f>
        <v>1386671.4740895175</v>
      </c>
      <c r="X38" s="16">
        <f>HLOOKUP(X22,'data-sem'!1:1048576,18)</f>
        <v>1186835.3194746119</v>
      </c>
      <c r="Y38" s="16">
        <f>HLOOKUP(Y22,'data-sem'!1:1048576,18)</f>
        <v>717117.85559666343</v>
      </c>
      <c r="Z38" s="16">
        <f>HLOOKUP(Z22,'data-sem'!1:1048576,18)</f>
        <v>671565.19513248082</v>
      </c>
    </row>
    <row r="39" spans="1:26" x14ac:dyDescent="0.25">
      <c r="A39" s="17" t="s">
        <v>59</v>
      </c>
      <c r="B39" s="17">
        <f>B37/B36</f>
        <v>1.3375789233737464E-2</v>
      </c>
      <c r="C39" s="17">
        <f t="shared" ref="C39:Z39" si="3">C37/C36</f>
        <v>1.4619498499077935E-2</v>
      </c>
      <c r="D39" s="17">
        <f t="shared" si="3"/>
        <v>2.7025680978302592E-2</v>
      </c>
      <c r="E39" s="17">
        <f t="shared" si="3"/>
        <v>1.8187155212501055E-2</v>
      </c>
      <c r="F39" s="17">
        <f t="shared" si="3"/>
        <v>2.4080333726797073E-2</v>
      </c>
      <c r="G39" s="17">
        <f t="shared" si="3"/>
        <v>1.1548338114186228E-2</v>
      </c>
      <c r="H39" s="17">
        <f t="shared" si="3"/>
        <v>1.4850783790795609E-2</v>
      </c>
      <c r="I39" s="17">
        <f t="shared" si="3"/>
        <v>1.5034097154173684E-2</v>
      </c>
      <c r="J39" s="17">
        <f t="shared" si="3"/>
        <v>2.1933800629843896E-2</v>
      </c>
      <c r="K39" s="17">
        <f t="shared" si="3"/>
        <v>2.0240168345953293E-2</v>
      </c>
      <c r="L39" s="17">
        <f t="shared" si="3"/>
        <v>2.0949486020824363E-2</v>
      </c>
      <c r="M39" s="17">
        <f t="shared" si="3"/>
        <v>1.7119854503321132E-2</v>
      </c>
      <c r="N39" s="17">
        <f t="shared" si="3"/>
        <v>8.8614820413805192E-3</v>
      </c>
      <c r="O39" s="17">
        <f t="shared" si="3"/>
        <v>1.4554076070882764E-2</v>
      </c>
      <c r="P39" s="17">
        <f t="shared" si="3"/>
        <v>1.3045079023201765E-2</v>
      </c>
      <c r="Q39" s="17">
        <f t="shared" si="3"/>
        <v>9.3754313116731422E-3</v>
      </c>
      <c r="R39" s="17">
        <f t="shared" si="3"/>
        <v>1.3509925531855392E-2</v>
      </c>
      <c r="S39" s="17">
        <f t="shared" si="3"/>
        <v>2.2140079525665064E-2</v>
      </c>
      <c r="T39" s="17">
        <f t="shared" si="3"/>
        <v>1.1242908814238175E-2</v>
      </c>
      <c r="U39" s="17">
        <f t="shared" si="3"/>
        <v>1.2007730255524846E-2</v>
      </c>
      <c r="V39" s="17">
        <f t="shared" si="3"/>
        <v>1.1900388822344706E-2</v>
      </c>
      <c r="W39" s="17">
        <f t="shared" si="3"/>
        <v>2.4284632553846913E-2</v>
      </c>
      <c r="X39" s="17">
        <f t="shared" si="3"/>
        <v>2.902020267572172E-2</v>
      </c>
      <c r="Y39" s="17">
        <f t="shared" si="3"/>
        <v>1.2716509238494369E-2</v>
      </c>
      <c r="Z39" s="17">
        <f t="shared" si="3"/>
        <v>9.4217286566626451E-3</v>
      </c>
    </row>
    <row r="40" spans="1:26" x14ac:dyDescent="0.25">
      <c r="A40" s="15" t="s">
        <v>60</v>
      </c>
      <c r="B40" s="15">
        <f>HLOOKUP(B22,'data-sem'!1:1048576,20)</f>
        <v>1980.1773967530999</v>
      </c>
      <c r="C40" s="15">
        <f>HLOOKUP(C22,'data-sem'!1:1048576,20)</f>
        <v>1744.8137298595207</v>
      </c>
      <c r="D40" s="15">
        <f>HLOOKUP(D22,'data-sem'!1:1048576,20)</f>
        <v>1208.7293612630483</v>
      </c>
      <c r="E40" s="15">
        <f>HLOOKUP(E22,'data-sem'!1:1048576,20)</f>
        <v>1359.8594965735274</v>
      </c>
      <c r="F40" s="15">
        <f>HLOOKUP(F22,'data-sem'!1:1048576,20)</f>
        <v>2385.8644384647205</v>
      </c>
      <c r="G40" s="15">
        <f>HLOOKUP(G22,'data-sem'!1:1048576,20)</f>
        <v>2241.9675534270568</v>
      </c>
      <c r="H40" s="15">
        <f>HLOOKUP(H22,'data-sem'!1:1048576,20)</f>
        <v>3135.4848792085845</v>
      </c>
      <c r="I40" s="15">
        <f>HLOOKUP(I22,'data-sem'!1:1048576,20)</f>
        <v>1735.7666720287375</v>
      </c>
      <c r="J40" s="15">
        <f>HLOOKUP(J22,'data-sem'!1:1048576,20)</f>
        <v>8837.5846246275196</v>
      </c>
      <c r="K40" s="15">
        <f>HLOOKUP(K22,'data-sem'!1:1048576,20)</f>
        <v>2333.2055921970532</v>
      </c>
      <c r="L40" s="15">
        <f>HLOOKUP(L22,'data-sem'!1:1048576,20)</f>
        <v>3323.8684910024585</v>
      </c>
      <c r="M40" s="15">
        <f>HLOOKUP(M22,'data-sem'!1:1048576,20)</f>
        <v>2015.2585546346847</v>
      </c>
      <c r="N40" s="15">
        <f>HLOOKUP(N22,'data-sem'!1:1048576,20)</f>
        <v>1727.3325592865115</v>
      </c>
      <c r="O40" s="15">
        <f>HLOOKUP(O22,'data-sem'!1:1048576,20)</f>
        <v>1555.1862613299902</v>
      </c>
      <c r="P40" s="15">
        <f>HLOOKUP(P22,'data-sem'!1:1048576,20)</f>
        <v>2002.6802640083254</v>
      </c>
      <c r="Q40" s="15">
        <f>HLOOKUP(Q22,'data-sem'!1:1048576,20)</f>
        <v>1701.4426993930201</v>
      </c>
      <c r="R40" s="15">
        <f>HLOOKUP(R22,'data-sem'!1:1048576,20)</f>
        <v>2573.3807230083335</v>
      </c>
      <c r="S40" s="15">
        <f>HLOOKUP(S22,'data-sem'!1:1048576,20)</f>
        <v>2240.7117886272258</v>
      </c>
      <c r="T40" s="15">
        <f>HLOOKUP(T22,'data-sem'!1:1048576,20)</f>
        <v>2727.7106811640579</v>
      </c>
      <c r="U40" s="15">
        <f>HLOOKUP(U22,'data-sem'!1:1048576,20)</f>
        <v>2390.4547608717576</v>
      </c>
      <c r="V40" s="15">
        <f>HLOOKUP(V22,'data-sem'!1:1048576,20)</f>
        <v>2149.9960881273064</v>
      </c>
      <c r="W40" s="15">
        <f>HLOOKUP(W22,'data-sem'!1:1048576,20)</f>
        <v>3024.2197815202962</v>
      </c>
      <c r="X40" s="15">
        <f>HLOOKUP(X22,'data-sem'!1:1048576,20)</f>
        <v>2264.6572402812662</v>
      </c>
      <c r="Y40" s="15">
        <f>HLOOKUP(Y22,'data-sem'!1:1048576,20)</f>
        <v>1636.0670643229801</v>
      </c>
      <c r="Z40" s="15">
        <f>HLOOKUP(Z22,'data-sem'!1:1048576,20)</f>
        <v>1277.859439869821</v>
      </c>
    </row>
    <row r="41" spans="1:26" x14ac:dyDescent="0.25">
      <c r="A41" s="15" t="s">
        <v>61</v>
      </c>
      <c r="B41" s="15">
        <f>HLOOKUP(B22,'data-sem'!1:1048576,21)</f>
        <v>36.633809915250659</v>
      </c>
      <c r="C41" s="15">
        <f>HLOOKUP(C22,'data-sem'!1:1048576,21)</f>
        <v>38.161488397645179</v>
      </c>
      <c r="D41" s="15">
        <f>HLOOKUP(D22,'data-sem'!1:1048576,21)</f>
        <v>39.466938853010483</v>
      </c>
      <c r="E41" s="15">
        <f>HLOOKUP(E22,'data-sem'!1:1048576,21)</f>
        <v>27.519178176807841</v>
      </c>
      <c r="F41" s="15">
        <f>HLOOKUP(F22,'data-sem'!1:1048576,21)</f>
        <v>49.646910455160722</v>
      </c>
      <c r="G41" s="15">
        <f>HLOOKUP(G22,'data-sem'!1:1048576,21)</f>
        <v>48.194248660081037</v>
      </c>
      <c r="H41" s="15">
        <f>HLOOKUP(H22,'data-sem'!1:1048576,21)</f>
        <v>38.479890425339981</v>
      </c>
      <c r="I41" s="15">
        <f>HLOOKUP(I22,'data-sem'!1:1048576,21)</f>
        <v>45.293317232389199</v>
      </c>
      <c r="J41" s="15">
        <f>HLOOKUP(J22,'data-sem'!1:1048576,21)</f>
        <v>146.6931100131828</v>
      </c>
      <c r="K41" s="15">
        <f>HLOOKUP(K22,'data-sem'!1:1048576,21)</f>
        <v>38.164984543568323</v>
      </c>
      <c r="L41" s="15">
        <f>HLOOKUP(L22,'data-sem'!1:1048576,21)</f>
        <v>31.246919873131699</v>
      </c>
      <c r="M41" s="15">
        <f>HLOOKUP(M22,'data-sem'!1:1048576,21)</f>
        <v>38.430210164760688</v>
      </c>
      <c r="N41" s="15">
        <f>HLOOKUP(N22,'data-sem'!1:1048576,21)</f>
        <v>27.477559375236609</v>
      </c>
      <c r="O41" s="15">
        <f>HLOOKUP(O22,'data-sem'!1:1048576,21)</f>
        <v>25.393849784226791</v>
      </c>
      <c r="P41" s="15">
        <f>HLOOKUP(P22,'data-sem'!1:1048576,21)</f>
        <v>28.080545699789877</v>
      </c>
      <c r="Q41" s="15">
        <f>HLOOKUP(Q22,'data-sem'!1:1048576,21)</f>
        <v>16.016082295934613</v>
      </c>
      <c r="R41" s="15">
        <f>HLOOKUP(R22,'data-sem'!1:1048576,21)</f>
        <v>43.878149757484756</v>
      </c>
      <c r="S41" s="15">
        <f>HLOOKUP(S22,'data-sem'!1:1048576,21)</f>
        <v>15.525040334715973</v>
      </c>
      <c r="T41" s="15">
        <f>HLOOKUP(T22,'data-sem'!1:1048576,21)</f>
        <v>22.350902251759457</v>
      </c>
      <c r="U41" s="15">
        <f>HLOOKUP(U22,'data-sem'!1:1048576,21)</f>
        <v>35.015038942323784</v>
      </c>
      <c r="V41" s="15">
        <f>HLOOKUP(V22,'data-sem'!1:1048576,21)</f>
        <v>28.27779110573449</v>
      </c>
      <c r="W41" s="15">
        <f>HLOOKUP(W22,'data-sem'!1:1048576,21)</f>
        <v>81.312302205776987</v>
      </c>
      <c r="X41" s="15">
        <f>HLOOKUP(X22,'data-sem'!1:1048576,21)</f>
        <v>43.581353006476867</v>
      </c>
      <c r="Y41" s="15">
        <f>HLOOKUP(Y22,'data-sem'!1:1048576,21)</f>
        <v>23.753709570037024</v>
      </c>
      <c r="Z41" s="15">
        <f>HLOOKUP(Z22,'data-sem'!1:1048576,21)</f>
        <v>33.711910408039721</v>
      </c>
    </row>
    <row r="42" spans="1:26" x14ac:dyDescent="0.25">
      <c r="A42" s="16" t="s">
        <v>62</v>
      </c>
      <c r="B42" s="16">
        <f>HLOOKUP(B22,'data-sem'!1:1048576,22)</f>
        <v>30470.876243260107</v>
      </c>
      <c r="C42" s="16">
        <f>HLOOKUP(C22,'data-sem'!1:1048576,22)</f>
        <v>58051.302764084227</v>
      </c>
      <c r="D42" s="16">
        <f>HLOOKUP(D22,'data-sem'!1:1048576,22)</f>
        <v>43020.615819593084</v>
      </c>
      <c r="E42" s="16">
        <f>HLOOKUP(E22,'data-sem'!1:1048576,22)</f>
        <v>56187.965450271084</v>
      </c>
      <c r="F42" s="16">
        <f>HLOOKUP(F22,'data-sem'!1:1048576,22)</f>
        <v>81714.865743052549</v>
      </c>
      <c r="G42" s="16">
        <f>HLOOKUP(G22,'data-sem'!1:1048576,22)</f>
        <v>60384.98924019721</v>
      </c>
      <c r="H42" s="16">
        <f>HLOOKUP(H22,'data-sem'!1:1048576,22)</f>
        <v>62143.406855233829</v>
      </c>
      <c r="I42" s="16">
        <f>HLOOKUP(I22,'data-sem'!1:1048576,22)</f>
        <v>64095.600957130831</v>
      </c>
      <c r="J42" s="16">
        <f>HLOOKUP(J22,'data-sem'!1:1048576,22)</f>
        <v>318835.24052306777</v>
      </c>
      <c r="K42" s="16">
        <f>HLOOKUP(K22,'data-sem'!1:1048576,22)</f>
        <v>58220.529898636167</v>
      </c>
      <c r="L42" s="16">
        <f>HLOOKUP(L22,'data-sem'!1:1048576,22)</f>
        <v>42908.079807023278</v>
      </c>
      <c r="M42" s="16">
        <f>HLOOKUP(M22,'data-sem'!1:1048576,22)</f>
        <v>77926.860575588638</v>
      </c>
      <c r="N42" s="16">
        <f>HLOOKUP(N22,'data-sem'!1:1048576,22)</f>
        <v>17580.826293965991</v>
      </c>
      <c r="O42" s="16">
        <f>HLOOKUP(O22,'data-sem'!1:1048576,22)</f>
        <v>48029.885676796373</v>
      </c>
      <c r="P42" s="16">
        <f>HLOOKUP(P22,'data-sem'!1:1048576,22)</f>
        <v>47710.569740842613</v>
      </c>
      <c r="Q42" s="16">
        <f>HLOOKUP(Q22,'data-sem'!1:1048576,22)</f>
        <v>35606.994859858256</v>
      </c>
      <c r="R42" s="16">
        <f>HLOOKUP(R22,'data-sem'!1:1048576,22)</f>
        <v>69950.606535998144</v>
      </c>
      <c r="S42" s="16">
        <f>HLOOKUP(S22,'data-sem'!1:1048576,22)</f>
        <v>28219.817276044265</v>
      </c>
      <c r="T42" s="16">
        <f>HLOOKUP(T22,'data-sem'!1:1048576,22)</f>
        <v>44893.177657405962</v>
      </c>
      <c r="U42" s="16">
        <f>HLOOKUP(U22,'data-sem'!1:1048576,22)</f>
        <v>60664.255412039136</v>
      </c>
      <c r="V42" s="16">
        <f>HLOOKUP(V22,'data-sem'!1:1048576,22)</f>
        <v>26256.449221526236</v>
      </c>
      <c r="W42" s="16">
        <f>HLOOKUP(W22,'data-sem'!1:1048576,22)</f>
        <v>35234.428719940028</v>
      </c>
      <c r="X42" s="16">
        <f>HLOOKUP(X22,'data-sem'!1:1048576,22)</f>
        <v>74153.066646343621</v>
      </c>
      <c r="Y42" s="16">
        <f>HLOOKUP(Y22,'data-sem'!1:1048576,22)</f>
        <v>59613.587865115784</v>
      </c>
      <c r="Z42" s="16">
        <f>HLOOKUP(Z22,'data-sem'!1:1048576,22)</f>
        <v>52960.699347922869</v>
      </c>
    </row>
    <row r="43" spans="1:26" x14ac:dyDescent="0.25">
      <c r="A43" s="17" t="s">
        <v>63</v>
      </c>
      <c r="B43" s="17">
        <f>B41/B40</f>
        <v>1.8500266680813133E-2</v>
      </c>
      <c r="C43" s="17">
        <f t="shared" ref="C43:Z43" si="4">C41/C40</f>
        <v>2.1871382454514303E-2</v>
      </c>
      <c r="D43" s="17">
        <f t="shared" si="4"/>
        <v>3.2651592753376937E-2</v>
      </c>
      <c r="E43" s="17">
        <f t="shared" si="4"/>
        <v>2.0236780524862028E-2</v>
      </c>
      <c r="F43" s="17">
        <f t="shared" si="4"/>
        <v>2.0808772558388942E-2</v>
      </c>
      <c r="G43" s="17">
        <f t="shared" si="4"/>
        <v>2.1496407736325902E-2</v>
      </c>
      <c r="H43" s="17">
        <f t="shared" si="4"/>
        <v>1.2272389090599774E-2</v>
      </c>
      <c r="I43" s="17">
        <f t="shared" si="4"/>
        <v>2.6094127720202778E-2</v>
      </c>
      <c r="J43" s="17">
        <f t="shared" si="4"/>
        <v>1.6598778540054492E-2</v>
      </c>
      <c r="K43" s="17">
        <f t="shared" si="4"/>
        <v>1.6357317448236711E-2</v>
      </c>
      <c r="L43" s="17">
        <f t="shared" si="4"/>
        <v>9.4007690008541273E-3</v>
      </c>
      <c r="M43" s="17">
        <f t="shared" si="4"/>
        <v>1.9069617680758145E-2</v>
      </c>
      <c r="N43" s="17">
        <f t="shared" si="4"/>
        <v>1.5907509661362739E-2</v>
      </c>
      <c r="O43" s="17">
        <f t="shared" si="4"/>
        <v>1.6328494158963348E-2</v>
      </c>
      <c r="P43" s="17">
        <f t="shared" si="4"/>
        <v>1.402148221283572E-2</v>
      </c>
      <c r="Q43" s="17">
        <f t="shared" si="4"/>
        <v>9.4132363679648202E-3</v>
      </c>
      <c r="R43" s="17">
        <f t="shared" si="4"/>
        <v>1.705078046368138E-2</v>
      </c>
      <c r="S43" s="17">
        <f t="shared" si="4"/>
        <v>6.9286199204706298E-3</v>
      </c>
      <c r="T43" s="17">
        <f t="shared" si="4"/>
        <v>8.1940150053674866E-3</v>
      </c>
      <c r="U43" s="17">
        <f t="shared" si="4"/>
        <v>1.4647856765778912E-2</v>
      </c>
      <c r="V43" s="17">
        <f t="shared" si="4"/>
        <v>1.3152484910037704E-2</v>
      </c>
      <c r="W43" s="17">
        <f t="shared" si="4"/>
        <v>2.6887034699872484E-2</v>
      </c>
      <c r="X43" s="17">
        <f t="shared" si="4"/>
        <v>1.9244127646029181E-2</v>
      </c>
      <c r="Y43" s="17">
        <f t="shared" si="4"/>
        <v>1.4518787211126051E-2</v>
      </c>
      <c r="Z43" s="17">
        <f t="shared" si="4"/>
        <v>2.6381548201791304E-2</v>
      </c>
    </row>
    <row r="44" spans="1:26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x14ac:dyDescent="0.25">
      <c r="A45" s="14" t="s">
        <v>64</v>
      </c>
      <c r="B45" s="15">
        <f>HLOOKUP(B22,'data-sem'!1:1048576,25)</f>
        <v>70700.271481561984</v>
      </c>
      <c r="C45" s="15">
        <f>HLOOKUP(C22,'data-sem'!1:1048576,25)</f>
        <v>88825.709220358665</v>
      </c>
      <c r="D45" s="15">
        <f>HLOOKUP(D22,'data-sem'!1:1048576,25)</f>
        <v>101439.13276511112</v>
      </c>
      <c r="E45" s="15">
        <f>HLOOKUP(E22,'data-sem'!1:1048576,25)</f>
        <v>49720.774674934277</v>
      </c>
      <c r="F45" s="15">
        <f>HLOOKUP(F22,'data-sem'!1:1048576,25)</f>
        <v>84121.454774298487</v>
      </c>
      <c r="G45" s="15">
        <f>HLOOKUP(G22,'data-sem'!1:1048576,25)</f>
        <v>69657.033581191718</v>
      </c>
      <c r="H45" s="15">
        <f>HLOOKUP(H22,'data-sem'!1:1048576,25)</f>
        <v>43867.693809533135</v>
      </c>
      <c r="I45" s="15">
        <f>HLOOKUP(I22,'data-sem'!1:1048576,25)</f>
        <v>28669.914346410627</v>
      </c>
      <c r="J45" s="15">
        <f>HLOOKUP(J22,'data-sem'!1:1048576,25)</f>
        <v>43237.76216916414</v>
      </c>
      <c r="K45" s="15">
        <f>HLOOKUP(K22,'data-sem'!1:1048576,25)</f>
        <v>39248.545663798781</v>
      </c>
      <c r="L45" s="15">
        <f>HLOOKUP(L22,'data-sem'!1:1048576,25)</f>
        <v>47064.432911393247</v>
      </c>
      <c r="M45" s="15">
        <f>HLOOKUP(M22,'data-sem'!1:1048576,25)</f>
        <v>49719.818410323991</v>
      </c>
      <c r="N45" s="15">
        <f>HLOOKUP(N22,'data-sem'!1:1048576,25)</f>
        <v>48071.729490653372</v>
      </c>
      <c r="O45" s="15">
        <f>HLOOKUP(O22,'data-sem'!1:1048576,25)</f>
        <v>41634.542409035574</v>
      </c>
      <c r="P45" s="15">
        <f>HLOOKUP(P22,'data-sem'!1:1048576,25)</f>
        <v>31954.701888448904</v>
      </c>
      <c r="Q45" s="15">
        <f>HLOOKUP(Q22,'data-sem'!1:1048576,25)</f>
        <v>35491.964066236884</v>
      </c>
      <c r="R45" s="15">
        <f>HLOOKUP(R22,'data-sem'!1:1048576,25)</f>
        <v>55842.927382997019</v>
      </c>
      <c r="S45" s="15">
        <f>HLOOKUP(S22,'data-sem'!1:1048576,25)</f>
        <v>37370.494458051107</v>
      </c>
      <c r="T45" s="15">
        <f>HLOOKUP(T22,'data-sem'!1:1048576,25)</f>
        <v>90537.58505650454</v>
      </c>
      <c r="U45" s="15">
        <f>HLOOKUP(U22,'data-sem'!1:1048576,25)</f>
        <v>72783.4691291864</v>
      </c>
      <c r="V45" s="15">
        <f>HLOOKUP(V22,'data-sem'!1:1048576,25)</f>
        <v>64738.582049830227</v>
      </c>
      <c r="W45" s="15">
        <f>HLOOKUP(W22,'data-sem'!1:1048576,25)</f>
        <v>86099.582918459288</v>
      </c>
      <c r="X45" s="15">
        <f>HLOOKUP(X22,'data-sem'!1:1048576,25)</f>
        <v>80601.823779468847</v>
      </c>
      <c r="Y45" s="15">
        <f>HLOOKUP(Y22,'data-sem'!1:1048576,25)</f>
        <v>88771.556080224196</v>
      </c>
      <c r="Z45" s="15">
        <f>HLOOKUP(Z22,'data-sem'!1:1048576,25)</f>
        <v>57415.460611426694</v>
      </c>
    </row>
    <row r="46" spans="1:26" x14ac:dyDescent="0.25">
      <c r="A46" s="14" t="s">
        <v>65</v>
      </c>
      <c r="B46" s="15">
        <f>HLOOKUP(B22,'data-sem'!1:1048576,26)</f>
        <v>916.52948509090481</v>
      </c>
      <c r="C46" s="15">
        <f>HLOOKUP(C22,'data-sem'!1:1048576,26)</f>
        <v>669.07059067759462</v>
      </c>
      <c r="D46" s="15">
        <f>HLOOKUP(D22,'data-sem'!1:1048576,26)</f>
        <v>1239.2667944662719</v>
      </c>
      <c r="E46" s="15">
        <f>HLOOKUP(E22,'data-sem'!1:1048576,26)</f>
        <v>848.87109089679336</v>
      </c>
      <c r="F46" s="15">
        <f>HLOOKUP(F22,'data-sem'!1:1048576,26)</f>
        <v>1003.9149626667989</v>
      </c>
      <c r="G46" s="15">
        <f>HLOOKUP(G22,'data-sem'!1:1048576,26)</f>
        <v>638.37966068790229</v>
      </c>
      <c r="H46" s="15">
        <f>HLOOKUP(H22,'data-sem'!1:1048576,26)</f>
        <v>774.30692637541733</v>
      </c>
      <c r="I46" s="15">
        <f>HLOOKUP(I22,'data-sem'!1:1048576,26)</f>
        <v>738.60373628524155</v>
      </c>
      <c r="J46" s="15">
        <f>HLOOKUP(J22,'data-sem'!1:1048576,26)</f>
        <v>1130.2622944323164</v>
      </c>
      <c r="K46" s="15">
        <f>HLOOKUP(K22,'data-sem'!1:1048576,26)</f>
        <v>1320.3820378500059</v>
      </c>
      <c r="L46" s="15">
        <f>HLOOKUP(L22,'data-sem'!1:1048576,26)</f>
        <v>1478.9813102933244</v>
      </c>
      <c r="M46" s="15">
        <f>HLOOKUP(M22,'data-sem'!1:1048576,26)</f>
        <v>724.01501083237781</v>
      </c>
      <c r="N46" s="15">
        <f>HLOOKUP(N22,'data-sem'!1:1048576,26)</f>
        <v>415.30666350572426</v>
      </c>
      <c r="O46" s="15">
        <f>HLOOKUP(O22,'data-sem'!1:1048576,26)</f>
        <v>539.43687906687978</v>
      </c>
      <c r="P46" s="15">
        <f>HLOOKUP(P22,'data-sem'!1:1048576,26)</f>
        <v>804.25244219113245</v>
      </c>
      <c r="Q46" s="15">
        <f>HLOOKUP(Q22,'data-sem'!1:1048576,26)</f>
        <v>613.52808839705369</v>
      </c>
      <c r="R46" s="15">
        <f>HLOOKUP(R22,'data-sem'!1:1048576,26)</f>
        <v>465.6165724371225</v>
      </c>
      <c r="S46" s="15">
        <f>HLOOKUP(S22,'data-sem'!1:1048576,26)</f>
        <v>537.52436677948685</v>
      </c>
      <c r="T46" s="15">
        <f>HLOOKUP(T22,'data-sem'!1:1048576,26)</f>
        <v>802.73188753879037</v>
      </c>
      <c r="U46" s="15">
        <f>HLOOKUP(U22,'data-sem'!1:1048576,26)</f>
        <v>945.85278416199208</v>
      </c>
      <c r="V46" s="15">
        <f>HLOOKUP(V22,'data-sem'!1:1048576,26)</f>
        <v>1322.3507481056406</v>
      </c>
      <c r="W46" s="15">
        <f>HLOOKUP(W22,'data-sem'!1:1048576,26)</f>
        <v>2003.5934314602348</v>
      </c>
      <c r="X46" s="15">
        <f>HLOOKUP(X22,'data-sem'!1:1048576,26)</f>
        <v>950.75824726939607</v>
      </c>
      <c r="Y46" s="15">
        <f>HLOOKUP(Y22,'data-sem'!1:1048576,26)</f>
        <v>998.19370113595471</v>
      </c>
      <c r="Z46" s="15">
        <f>HLOOKUP(Z22,'data-sem'!1:1048576,26)</f>
        <v>869.84338588990306</v>
      </c>
    </row>
    <row r="47" spans="1:26" x14ac:dyDescent="0.25">
      <c r="A47" s="14" t="s">
        <v>66</v>
      </c>
      <c r="B47" s="16">
        <f>HLOOKUP(B22,'data-sem'!1:1048576,27)</f>
        <v>1303238.6134926514</v>
      </c>
      <c r="C47" s="16">
        <f>HLOOKUP(C22,'data-sem'!1:1048576,27)</f>
        <v>1637535.8854867688</v>
      </c>
      <c r="D47" s="16">
        <f>HLOOKUP(D22,'data-sem'!1:1048576,27)</f>
        <v>2319694.2712367917</v>
      </c>
      <c r="E47" s="16">
        <f>HLOOKUP(E22,'data-sem'!1:1048576,27)</f>
        <v>963783.26334459952</v>
      </c>
      <c r="F47" s="16">
        <f>HLOOKUP(F22,'data-sem'!1:1048576,27)</f>
        <v>864370.15001439268</v>
      </c>
      <c r="G47" s="16">
        <f>HLOOKUP(G22,'data-sem'!1:1048576,27)</f>
        <v>1484790.8238406845</v>
      </c>
      <c r="H47" s="16">
        <f>HLOOKUP(H22,'data-sem'!1:1048576,27)</f>
        <v>840721.89584959648</v>
      </c>
      <c r="I47" s="16">
        <f>HLOOKUP(I22,'data-sem'!1:1048576,27)</f>
        <v>715114.55716700898</v>
      </c>
      <c r="J47" s="16">
        <f>HLOOKUP(J22,'data-sem'!1:1048576,27)</f>
        <v>1143577.5505522555</v>
      </c>
      <c r="K47" s="16">
        <f>HLOOKUP(K22,'data-sem'!1:1048576,27)</f>
        <v>1533198.4467603411</v>
      </c>
      <c r="L47" s="16">
        <f>HLOOKUP(L22,'data-sem'!1:1048576,27)</f>
        <v>1331046.4854594802</v>
      </c>
      <c r="M47" s="16">
        <f>HLOOKUP(M22,'data-sem'!1:1048576,27)</f>
        <v>730670.40559006063</v>
      </c>
      <c r="N47" s="16">
        <f>HLOOKUP(N22,'data-sem'!1:1048576,27)</f>
        <v>911382.90685243998</v>
      </c>
      <c r="O47" s="16">
        <f>HLOOKUP(O22,'data-sem'!1:1048576,27)</f>
        <v>1174054.463646529</v>
      </c>
      <c r="P47" s="16">
        <f>HLOOKUP(P22,'data-sem'!1:1048576,27)</f>
        <v>1269661.9340164301</v>
      </c>
      <c r="Q47" s="16">
        <f>HLOOKUP(Q22,'data-sem'!1:1048576,27)</f>
        <v>1710651.2987210702</v>
      </c>
      <c r="R47" s="16">
        <f>HLOOKUP(R22,'data-sem'!1:1048576,27)</f>
        <v>951757.4223520119</v>
      </c>
      <c r="S47" s="16">
        <f>HLOOKUP(S22,'data-sem'!1:1048576,27)</f>
        <v>673208.9297773944</v>
      </c>
      <c r="T47" s="16">
        <f>HLOOKUP(T22,'data-sem'!1:1048576,27)</f>
        <v>1759024.7946753963</v>
      </c>
      <c r="U47" s="16">
        <f>HLOOKUP(U22,'data-sem'!1:1048576,27)</f>
        <v>1727304.5392768611</v>
      </c>
      <c r="V47" s="16">
        <f>HLOOKUP(V22,'data-sem'!1:1048576,27)</f>
        <v>1256377.8430886078</v>
      </c>
      <c r="W47" s="16">
        <f>HLOOKUP(W22,'data-sem'!1:1048576,27)</f>
        <v>1766352.1855515323</v>
      </c>
      <c r="X47" s="16">
        <f>HLOOKUP(X22,'data-sem'!1:1048576,27)</f>
        <v>1700967.095527072</v>
      </c>
      <c r="Y47" s="16">
        <f>HLOOKUP(Y22,'data-sem'!1:1048576,27)</f>
        <v>840563.3970567754</v>
      </c>
      <c r="Z47" s="16">
        <f>HLOOKUP(Z22,'data-sem'!1:1048576,27)</f>
        <v>835188.60433776514</v>
      </c>
    </row>
    <row r="48" spans="1:26" x14ac:dyDescent="0.25">
      <c r="A48" s="14" t="s">
        <v>67</v>
      </c>
      <c r="B48" s="17">
        <f>B46/B45</f>
        <v>1.2963592160037571E-2</v>
      </c>
      <c r="C48" s="17">
        <f t="shared" ref="C48:Z48" si="5">C46/C45</f>
        <v>7.5323979571923876E-3</v>
      </c>
      <c r="D48" s="17">
        <f t="shared" si="5"/>
        <v>1.2216851235665375E-2</v>
      </c>
      <c r="E48" s="17">
        <f t="shared" si="5"/>
        <v>1.7072764783866785E-2</v>
      </c>
      <c r="F48" s="17">
        <f t="shared" si="5"/>
        <v>1.1934113186229915E-2</v>
      </c>
      <c r="G48" s="17">
        <f t="shared" si="5"/>
        <v>9.1646116388779571E-3</v>
      </c>
      <c r="H48" s="17">
        <f t="shared" si="5"/>
        <v>1.7650960402371286E-2</v>
      </c>
      <c r="I48" s="17">
        <f t="shared" si="5"/>
        <v>2.5762327970739549E-2</v>
      </c>
      <c r="J48" s="17">
        <f t="shared" si="5"/>
        <v>2.6140628879225049E-2</v>
      </c>
      <c r="K48" s="17">
        <f t="shared" si="5"/>
        <v>3.3641553222387835E-2</v>
      </c>
      <c r="L48" s="17">
        <f t="shared" si="5"/>
        <v>3.1424607050461156E-2</v>
      </c>
      <c r="M48" s="17">
        <f t="shared" si="5"/>
        <v>1.4561899741010334E-2</v>
      </c>
      <c r="N48" s="17">
        <f t="shared" si="5"/>
        <v>8.6393118763591122E-3</v>
      </c>
      <c r="O48" s="17">
        <f t="shared" si="5"/>
        <v>1.2956474308453324E-2</v>
      </c>
      <c r="P48" s="17">
        <f t="shared" si="5"/>
        <v>2.5168516514367995E-2</v>
      </c>
      <c r="Q48" s="17">
        <f t="shared" si="5"/>
        <v>1.728639438640411E-2</v>
      </c>
      <c r="R48" s="17">
        <f t="shared" si="5"/>
        <v>8.337968553183207E-3</v>
      </c>
      <c r="S48" s="17">
        <f t="shared" si="5"/>
        <v>1.4383656801299896E-2</v>
      </c>
      <c r="T48" s="17">
        <f t="shared" si="5"/>
        <v>8.8662834008418172E-3</v>
      </c>
      <c r="U48" s="17">
        <f t="shared" si="5"/>
        <v>1.2995434203378774E-2</v>
      </c>
      <c r="V48" s="17">
        <f t="shared" si="5"/>
        <v>2.0426007277820946E-2</v>
      </c>
      <c r="W48" s="17">
        <f t="shared" si="5"/>
        <v>2.3270652000227925E-2</v>
      </c>
      <c r="X48" s="17">
        <f t="shared" si="5"/>
        <v>1.179574112207094E-2</v>
      </c>
      <c r="Y48" s="17">
        <f t="shared" si="5"/>
        <v>1.1244521840237564E-2</v>
      </c>
      <c r="Z48" s="17">
        <f t="shared" si="5"/>
        <v>1.5149985328460272E-2</v>
      </c>
    </row>
    <row r="49" spans="1:26" x14ac:dyDescent="0.25">
      <c r="A49" s="14" t="s">
        <v>68</v>
      </c>
      <c r="B49" s="15">
        <f>HLOOKUP(B22,'data-sem'!1:1048576,29)</f>
        <v>30125.752630910523</v>
      </c>
      <c r="C49" s="15">
        <f>HLOOKUP(C22,'data-sem'!1:1048576,29)</f>
        <v>34452.285587959246</v>
      </c>
      <c r="D49" s="15">
        <f>HLOOKUP(D22,'data-sem'!1:1048576,29)</f>
        <v>36204.5427422789</v>
      </c>
      <c r="E49" s="15">
        <f>HLOOKUP(E22,'data-sem'!1:1048576,29)</f>
        <v>40022.708873751602</v>
      </c>
      <c r="F49" s="15">
        <f>HLOOKUP(F22,'data-sem'!1:1048576,29)</f>
        <v>45281.612824536678</v>
      </c>
      <c r="G49" s="15">
        <f>HLOOKUP(G22,'data-sem'!1:1048576,29)</f>
        <v>61430.545125500255</v>
      </c>
      <c r="H49" s="15">
        <f>HLOOKUP(H22,'data-sem'!1:1048576,29)</f>
        <v>35007.459127017901</v>
      </c>
      <c r="I49" s="15">
        <f>HLOOKUP(I22,'data-sem'!1:1048576,29)</f>
        <v>31062.409729176692</v>
      </c>
      <c r="J49" s="15">
        <f>HLOOKUP(J22,'data-sem'!1:1048576,29)</f>
        <v>41747.399904554943</v>
      </c>
      <c r="K49" s="15">
        <f>HLOOKUP(K22,'data-sem'!1:1048576,29)</f>
        <v>35250.521486549864</v>
      </c>
      <c r="L49" s="15">
        <f>HLOOKUP(L22,'data-sem'!1:1048576,29)</f>
        <v>45838.830558782836</v>
      </c>
      <c r="M49" s="15">
        <f>HLOOKUP(M22,'data-sem'!1:1048576,29)</f>
        <v>33433.075721738751</v>
      </c>
      <c r="N49" s="15">
        <f>HLOOKUP(N22,'data-sem'!1:1048576,29)</f>
        <v>34296.401113345404</v>
      </c>
      <c r="O49" s="15">
        <f>HLOOKUP(O22,'data-sem'!1:1048576,29)</f>
        <v>40411.482504394633</v>
      </c>
      <c r="P49" s="15">
        <f>HLOOKUP(P22,'data-sem'!1:1048576,29)</f>
        <v>39768.474350669327</v>
      </c>
      <c r="Q49" s="15">
        <f>HLOOKUP(Q22,'data-sem'!1:1048576,29)</f>
        <v>29038.926708846549</v>
      </c>
      <c r="R49" s="15">
        <f>HLOOKUP(R22,'data-sem'!1:1048576,29)</f>
        <v>21704.83638184745</v>
      </c>
      <c r="S49" s="15">
        <f>HLOOKUP(S22,'data-sem'!1:1048576,29)</f>
        <v>27476.5958186194</v>
      </c>
      <c r="T49" s="15">
        <f>HLOOKUP(T22,'data-sem'!1:1048576,29)</f>
        <v>43329.705510090142</v>
      </c>
      <c r="U49" s="15">
        <f>HLOOKUP(U22,'data-sem'!1:1048576,29)</f>
        <v>51069.818400651762</v>
      </c>
      <c r="V49" s="15">
        <f>HLOOKUP(V22,'data-sem'!1:1048576,29)</f>
        <v>46550.47834082698</v>
      </c>
      <c r="W49" s="15">
        <f>HLOOKUP(W22,'data-sem'!1:1048576,29)</f>
        <v>37168.641004492427</v>
      </c>
      <c r="X49" s="15">
        <f>HLOOKUP(X22,'data-sem'!1:1048576,29)</f>
        <v>53827.791369503975</v>
      </c>
      <c r="Y49" s="15">
        <f>HLOOKUP(Y22,'data-sem'!1:1048576,29)</f>
        <v>35719.928257406398</v>
      </c>
      <c r="Z49" s="15">
        <f>HLOOKUP(Z22,'data-sem'!1:1048576,29)</f>
        <v>39791.176752194762</v>
      </c>
    </row>
    <row r="50" spans="1:26" x14ac:dyDescent="0.25">
      <c r="A50" s="14" t="s">
        <v>69</v>
      </c>
      <c r="B50" s="15">
        <f>HLOOKUP(B22,'data-sem'!1:1048576,30)</f>
        <v>517.47080745760877</v>
      </c>
      <c r="C50" s="15">
        <f>HLOOKUP(C22,'data-sem'!1:1048576,30)</f>
        <v>498.75081860032446</v>
      </c>
      <c r="D50" s="15">
        <f>HLOOKUP(D22,'data-sem'!1:1048576,30)</f>
        <v>790.86806934711228</v>
      </c>
      <c r="E50" s="15">
        <f>HLOOKUP(E22,'data-sem'!1:1048576,30)</f>
        <v>589.40744728579841</v>
      </c>
      <c r="F50" s="15">
        <f>HLOOKUP(F22,'data-sem'!1:1048576,30)</f>
        <v>616.87877354024431</v>
      </c>
      <c r="G50" s="15">
        <f>HLOOKUP(G22,'data-sem'!1:1048576,30)</f>
        <v>620.51738170094143</v>
      </c>
      <c r="H50" s="15">
        <f>HLOOKUP(H22,'data-sem'!1:1048576,30)</f>
        <v>584.41643470548399</v>
      </c>
      <c r="I50" s="15">
        <f>HLOOKUP(I22,'data-sem'!1:1048576,30)</f>
        <v>409.96815411983323</v>
      </c>
      <c r="J50" s="15">
        <f>HLOOKUP(J22,'data-sem'!1:1048576,30)</f>
        <v>574.5290058599528</v>
      </c>
      <c r="K50" s="15">
        <f>HLOOKUP(K22,'data-sem'!1:1048576,30)</f>
        <v>664.40406803751557</v>
      </c>
      <c r="L50" s="15">
        <f>HLOOKUP(L22,'data-sem'!1:1048576,30)</f>
        <v>912.63448469661762</v>
      </c>
      <c r="M50" s="15">
        <f>HLOOKUP(M22,'data-sem'!1:1048576,30)</f>
        <v>779.79838946993664</v>
      </c>
      <c r="N50" s="15">
        <f>HLOOKUP(N22,'data-sem'!1:1048576,30)</f>
        <v>548.49773883852424</v>
      </c>
      <c r="O50" s="15">
        <f>HLOOKUP(O22,'data-sem'!1:1048576,30)</f>
        <v>583.40796522308574</v>
      </c>
      <c r="P50" s="15">
        <f>HLOOKUP(P22,'data-sem'!1:1048576,30)</f>
        <v>406.24972135881313</v>
      </c>
      <c r="Q50" s="15">
        <f>HLOOKUP(Q22,'data-sem'!1:1048576,30)</f>
        <v>534.54624899650992</v>
      </c>
      <c r="R50" s="15">
        <f>HLOOKUP(R22,'data-sem'!1:1048576,30)</f>
        <v>425.36021362455534</v>
      </c>
      <c r="S50" s="15">
        <f>HLOOKUP(S22,'data-sem'!1:1048576,30)</f>
        <v>483.81507233462912</v>
      </c>
      <c r="T50" s="15">
        <f>HLOOKUP(T22,'data-sem'!1:1048576,30)</f>
        <v>474.78918115239304</v>
      </c>
      <c r="U50" s="15">
        <f>HLOOKUP(U22,'data-sem'!1:1048576,30)</f>
        <v>671.48454430554239</v>
      </c>
      <c r="V50" s="15">
        <f>HLOOKUP(V22,'data-sem'!1:1048576,30)</f>
        <v>580.94808403858747</v>
      </c>
      <c r="W50" s="15">
        <f>HLOOKUP(W22,'data-sem'!1:1048576,30)</f>
        <v>986.5958524634176</v>
      </c>
      <c r="X50" s="15">
        <f>HLOOKUP(X22,'data-sem'!1:1048576,30)</f>
        <v>680.5589209913868</v>
      </c>
      <c r="Y50" s="15">
        <f>HLOOKUP(Y22,'data-sem'!1:1048576,30)</f>
        <v>409.07543345442355</v>
      </c>
      <c r="Z50" s="15">
        <f>HLOOKUP(Z22,'data-sem'!1:1048576,30)</f>
        <v>350.26481215047642</v>
      </c>
    </row>
    <row r="51" spans="1:26" x14ac:dyDescent="0.25">
      <c r="A51" s="14" t="s">
        <v>70</v>
      </c>
      <c r="B51" s="16">
        <f>HLOOKUP(B22,'data-sem'!1:1048576,31)</f>
        <v>604963.86071667739</v>
      </c>
      <c r="C51" s="16">
        <f>HLOOKUP(C22,'data-sem'!1:1048576,31)</f>
        <v>1102837.2112663176</v>
      </c>
      <c r="D51" s="16">
        <f>HLOOKUP(D22,'data-sem'!1:1048576,31)</f>
        <v>1350828.154882709</v>
      </c>
      <c r="E51" s="16">
        <f>HLOOKUP(E22,'data-sem'!1:1048576,31)</f>
        <v>701384.98679531273</v>
      </c>
      <c r="F51" s="16">
        <f>HLOOKUP(F22,'data-sem'!1:1048576,31)</f>
        <v>710540.41660737817</v>
      </c>
      <c r="G51" s="16">
        <f>HLOOKUP(G22,'data-sem'!1:1048576,31)</f>
        <v>700749.44504731591</v>
      </c>
      <c r="H51" s="16">
        <f>HLOOKUP(H22,'data-sem'!1:1048576,31)</f>
        <v>489186.96673180716</v>
      </c>
      <c r="I51" s="16">
        <f>HLOOKUP(I22,'data-sem'!1:1048576,31)</f>
        <v>620556.9135161743</v>
      </c>
      <c r="J51" s="16">
        <f>HLOOKUP(J22,'data-sem'!1:1048576,31)</f>
        <v>973140.786565291</v>
      </c>
      <c r="K51" s="16">
        <f>HLOOKUP(K22,'data-sem'!1:1048576,31)</f>
        <v>1193421.9029055447</v>
      </c>
      <c r="L51" s="16">
        <f>HLOOKUP(L22,'data-sem'!1:1048576,31)</f>
        <v>819341.43769855134</v>
      </c>
      <c r="M51" s="16">
        <f>HLOOKUP(M22,'data-sem'!1:1048576,31)</f>
        <v>928076.21182083641</v>
      </c>
      <c r="N51" s="16">
        <f>HLOOKUP(N22,'data-sem'!1:1048576,31)</f>
        <v>644394.23813437903</v>
      </c>
      <c r="O51" s="16">
        <f>HLOOKUP(O22,'data-sem'!1:1048576,31)</f>
        <v>759108.89882208372</v>
      </c>
      <c r="P51" s="16">
        <f>HLOOKUP(P22,'data-sem'!1:1048576,31)</f>
        <v>988486.72275993647</v>
      </c>
      <c r="Q51" s="16">
        <f>HLOOKUP(Q22,'data-sem'!1:1048576,31)</f>
        <v>1261764.0066216362</v>
      </c>
      <c r="R51" s="16">
        <f>HLOOKUP(R22,'data-sem'!1:1048576,31)</f>
        <v>702380.21002038836</v>
      </c>
      <c r="S51" s="16">
        <f>HLOOKUP(S22,'data-sem'!1:1048576,31)</f>
        <v>548143.77391280246</v>
      </c>
      <c r="T51" s="16">
        <f>HLOOKUP(T22,'data-sem'!1:1048576,31)</f>
        <v>721664.10491953394</v>
      </c>
      <c r="U51" s="16">
        <f>HLOOKUP(U22,'data-sem'!1:1048576,31)</f>
        <v>610384.79570101888</v>
      </c>
      <c r="V51" s="16">
        <f>HLOOKUP(V22,'data-sem'!1:1048576,31)</f>
        <v>927028.84495646087</v>
      </c>
      <c r="W51" s="16">
        <f>HLOOKUP(W22,'data-sem'!1:1048576,31)</f>
        <v>960209.39956918347</v>
      </c>
      <c r="X51" s="16">
        <f>HLOOKUP(X22,'data-sem'!1:1048576,31)</f>
        <v>750916.44958165602</v>
      </c>
      <c r="Y51" s="16">
        <f>HLOOKUP(Y22,'data-sem'!1:1048576,31)</f>
        <v>397402.55483142432</v>
      </c>
      <c r="Z51" s="16">
        <f>HLOOKUP(Z22,'data-sem'!1:1048576,31)</f>
        <v>557429.64835633046</v>
      </c>
    </row>
    <row r="52" spans="1:26" x14ac:dyDescent="0.25">
      <c r="A52" s="14" t="s">
        <v>71</v>
      </c>
      <c r="B52" s="17">
        <f>B50/B49</f>
        <v>1.7177025045563774E-2</v>
      </c>
      <c r="C52" s="17">
        <f t="shared" ref="C52:Z52" si="6">C50/C49</f>
        <v>1.4476566941458109E-2</v>
      </c>
      <c r="D52" s="17">
        <f t="shared" si="6"/>
        <v>2.1844442974377171E-2</v>
      </c>
      <c r="E52" s="17">
        <f t="shared" si="6"/>
        <v>1.4726825441652051E-2</v>
      </c>
      <c r="F52" s="17">
        <f t="shared" si="6"/>
        <v>1.3623162583245647E-2</v>
      </c>
      <c r="G52" s="17">
        <f t="shared" si="6"/>
        <v>1.0101121200100831E-2</v>
      </c>
      <c r="H52" s="17">
        <f t="shared" si="6"/>
        <v>1.6694054618046978E-2</v>
      </c>
      <c r="I52" s="17">
        <f t="shared" si="6"/>
        <v>1.3198208306896202E-2</v>
      </c>
      <c r="J52" s="17">
        <f t="shared" si="6"/>
        <v>1.3762030861166698E-2</v>
      </c>
      <c r="K52" s="17">
        <f t="shared" si="6"/>
        <v>1.8848063518465241E-2</v>
      </c>
      <c r="L52" s="17">
        <f t="shared" si="6"/>
        <v>1.9909637169435914E-2</v>
      </c>
      <c r="M52" s="17">
        <f t="shared" si="6"/>
        <v>2.3324159462926666E-2</v>
      </c>
      <c r="N52" s="17">
        <f t="shared" si="6"/>
        <v>1.5992865753634219E-2</v>
      </c>
      <c r="O52" s="17">
        <f t="shared" si="6"/>
        <v>1.4436688017066482E-2</v>
      </c>
      <c r="P52" s="17">
        <f t="shared" si="6"/>
        <v>1.0215371044325107E-2</v>
      </c>
      <c r="Q52" s="17">
        <f t="shared" si="6"/>
        <v>1.8407920318682554E-2</v>
      </c>
      <c r="R52" s="17">
        <f t="shared" si="6"/>
        <v>1.9597485377973164E-2</v>
      </c>
      <c r="S52" s="17">
        <f t="shared" si="6"/>
        <v>1.7608261064377337E-2</v>
      </c>
      <c r="T52" s="17">
        <f t="shared" si="6"/>
        <v>1.0957590769727927E-2</v>
      </c>
      <c r="U52" s="17">
        <f t="shared" si="6"/>
        <v>1.3148363658504272E-2</v>
      </c>
      <c r="V52" s="17">
        <f t="shared" si="6"/>
        <v>1.247995949225442E-2</v>
      </c>
      <c r="W52" s="17">
        <f t="shared" si="6"/>
        <v>2.6543769850077965E-2</v>
      </c>
      <c r="X52" s="17">
        <f t="shared" si="6"/>
        <v>1.2643262962800217E-2</v>
      </c>
      <c r="Y52" s="17">
        <f t="shared" si="6"/>
        <v>1.1452302773581389E-2</v>
      </c>
      <c r="Z52" s="17">
        <f t="shared" si="6"/>
        <v>8.802574860547618E-3</v>
      </c>
    </row>
    <row r="53" spans="1:26" x14ac:dyDescent="0.25">
      <c r="A53" s="14" t="s">
        <v>72</v>
      </c>
      <c r="B53" s="15">
        <f>HLOOKUP(B22,'data-sem'!1:1048576,33)</f>
        <v>31036.258420509988</v>
      </c>
      <c r="C53" s="15">
        <f>HLOOKUP(C22,'data-sem'!1:1048576,33)</f>
        <v>31923.053488076232</v>
      </c>
      <c r="D53" s="15">
        <f>HLOOKUP(D22,'data-sem'!1:1048576,33)</f>
        <v>32717.301339672482</v>
      </c>
      <c r="E53" s="15">
        <f>HLOOKUP(E22,'data-sem'!1:1048576,33)</f>
        <v>33369.740527604175</v>
      </c>
      <c r="F53" s="15">
        <f>HLOOKUP(F22,'data-sem'!1:1048576,33)</f>
        <v>36279.505374028769</v>
      </c>
      <c r="G53" s="15">
        <f>HLOOKUP(G22,'data-sem'!1:1048576,33)</f>
        <v>12637.443884212747</v>
      </c>
      <c r="H53" s="15">
        <f>HLOOKUP(H22,'data-sem'!1:1048576,33)</f>
        <v>10575.007799917938</v>
      </c>
      <c r="I53" s="15">
        <f>HLOOKUP(I22,'data-sem'!1:1048576,33)</f>
        <v>13931.478983522928</v>
      </c>
      <c r="J53" s="15">
        <f>HLOOKUP(J22,'data-sem'!1:1048576,33)</f>
        <v>17378.747432307053</v>
      </c>
      <c r="K53" s="15">
        <f>HLOOKUP(K22,'data-sem'!1:1048576,33)</f>
        <v>23202.148756661139</v>
      </c>
      <c r="L53" s="15">
        <f>HLOOKUP(L22,'data-sem'!1:1048576,33)</f>
        <v>21446.898155790765</v>
      </c>
      <c r="M53" s="15">
        <f>HLOOKUP(M22,'data-sem'!1:1048576,33)</f>
        <v>21246.438072320976</v>
      </c>
      <c r="N53" s="15">
        <f>HLOOKUP(N22,'data-sem'!1:1048576,33)</f>
        <v>11334.601551919091</v>
      </c>
      <c r="O53" s="15">
        <f>HLOOKUP(O22,'data-sem'!1:1048576,33)</f>
        <v>12993.669970498549</v>
      </c>
      <c r="P53" s="15">
        <f>HLOOKUP(P22,'data-sem'!1:1048576,33)</f>
        <v>11786.324941694213</v>
      </c>
      <c r="Q53" s="15">
        <f>HLOOKUP(Q22,'data-sem'!1:1048576,33)</f>
        <v>9067.9129393555886</v>
      </c>
      <c r="R53" s="15">
        <f>HLOOKUP(R22,'data-sem'!1:1048576,33)</f>
        <v>13709.032208023295</v>
      </c>
      <c r="S53" s="15">
        <f>HLOOKUP(S22,'data-sem'!1:1048576,33)</f>
        <v>17952.992744133662</v>
      </c>
      <c r="T53" s="15">
        <f>HLOOKUP(T22,'data-sem'!1:1048576,33)</f>
        <v>43911.974336573388</v>
      </c>
      <c r="U53" s="15">
        <f>HLOOKUP(U22,'data-sem'!1:1048576,33)</f>
        <v>54171.657443051372</v>
      </c>
      <c r="V53" s="15">
        <f>HLOOKUP(V22,'data-sem'!1:1048576,33)</f>
        <v>47408.578135266973</v>
      </c>
      <c r="W53" s="15">
        <f>HLOOKUP(W22,'data-sem'!1:1048576,33)</f>
        <v>46992.628451148346</v>
      </c>
      <c r="X53" s="15">
        <f>HLOOKUP(X22,'data-sem'!1:1048576,33)</f>
        <v>31143.423883990981</v>
      </c>
      <c r="Y53" s="15">
        <f>HLOOKUP(Y22,'data-sem'!1:1048576,33)</f>
        <v>24272.918776310536</v>
      </c>
      <c r="Z53" s="15">
        <f>HLOOKUP(Z22,'data-sem'!1:1048576,33)</f>
        <v>25027.731471353334</v>
      </c>
    </row>
    <row r="54" spans="1:26" x14ac:dyDescent="0.25">
      <c r="A54" s="14" t="s">
        <v>73</v>
      </c>
      <c r="B54" s="15">
        <f>HLOOKUP(B22,'data-sem'!1:1048576,34)</f>
        <v>325.16780739700255</v>
      </c>
      <c r="C54" s="15">
        <f>HLOOKUP(C22,'data-sem'!1:1048576,34)</f>
        <v>285.85635581913954</v>
      </c>
      <c r="D54" s="15">
        <f>HLOOKUP(D22,'data-sem'!1:1048576,34)</f>
        <v>241.62494593984113</v>
      </c>
      <c r="E54" s="15">
        <f>HLOOKUP(E22,'data-sem'!1:1048576,34)</f>
        <v>303.17469462093817</v>
      </c>
      <c r="F54" s="15">
        <f>HLOOKUP(F22,'data-sem'!1:1048576,34)</f>
        <v>197.07034046595646</v>
      </c>
      <c r="G54" s="15">
        <f>HLOOKUP(G22,'data-sem'!1:1048576,34)</f>
        <v>137.86891904378047</v>
      </c>
      <c r="H54" s="15">
        <f>HLOOKUP(H22,'data-sem'!1:1048576,34)</f>
        <v>171.6817433091249</v>
      </c>
      <c r="I54" s="15">
        <f>HLOOKUP(I22,'data-sem'!1:1048576,34)</f>
        <v>181.6716823668288</v>
      </c>
      <c r="J54" s="15">
        <f>HLOOKUP(J22,'data-sem'!1:1048576,34)</f>
        <v>373.05919164106064</v>
      </c>
      <c r="K54" s="15">
        <f>HLOOKUP(K22,'data-sem'!1:1048576,34)</f>
        <v>527.81632584428803</v>
      </c>
      <c r="L54" s="15">
        <f>HLOOKUP(L22,'data-sem'!1:1048576,34)</f>
        <v>558.25445107840767</v>
      </c>
      <c r="M54" s="15">
        <f>HLOOKUP(M22,'data-sem'!1:1048576,34)</f>
        <v>425.33375989063944</v>
      </c>
      <c r="N54" s="15">
        <f>HLOOKUP(N22,'data-sem'!1:1048576,34)</f>
        <v>164.78269246166295</v>
      </c>
      <c r="O54" s="15">
        <f>HLOOKUP(O22,'data-sem'!1:1048576,34)</f>
        <v>223.54175177840895</v>
      </c>
      <c r="P54" s="15">
        <f>HLOOKUP(P22,'data-sem'!1:1048576,34)</f>
        <v>151.9727382450248</v>
      </c>
      <c r="Q54" s="15">
        <f>HLOOKUP(Q22,'data-sem'!1:1048576,34)</f>
        <v>145.04817160244571</v>
      </c>
      <c r="R54" s="15">
        <f>HLOOKUP(R22,'data-sem'!1:1048576,34)</f>
        <v>162.12579554175804</v>
      </c>
      <c r="S54" s="15">
        <f>HLOOKUP(S22,'data-sem'!1:1048576,34)</f>
        <v>209.86107882343592</v>
      </c>
      <c r="T54" s="15">
        <f>HLOOKUP(T22,'data-sem'!1:1048576,34)</f>
        <v>397.31345605488065</v>
      </c>
      <c r="U54" s="15">
        <f>HLOOKUP(U22,'data-sem'!1:1048576,34)</f>
        <v>352.38631569661027</v>
      </c>
      <c r="V54" s="15">
        <f>HLOOKUP(V22,'data-sem'!1:1048576,34)</f>
        <v>459.28324482331487</v>
      </c>
      <c r="W54" s="15">
        <f>HLOOKUP(W22,'data-sem'!1:1048576,34)</f>
        <v>677.43553007865989</v>
      </c>
      <c r="X54" s="15">
        <f>HLOOKUP(X22,'data-sem'!1:1048576,34)</f>
        <v>590.97590565308133</v>
      </c>
      <c r="Y54" s="15">
        <f>HLOOKUP(Y22,'data-sem'!1:1048576,34)</f>
        <v>380.07541842376969</v>
      </c>
      <c r="Z54" s="15">
        <f>HLOOKUP(Z22,'data-sem'!1:1048576,34)</f>
        <v>469.07471484059874</v>
      </c>
    </row>
    <row r="55" spans="1:26" x14ac:dyDescent="0.25">
      <c r="A55" s="14" t="s">
        <v>74</v>
      </c>
      <c r="B55" s="14">
        <f>HLOOKUP(B22,'data-sem'!1:1048576,35)</f>
        <v>424715.26572370017</v>
      </c>
      <c r="C55" s="14">
        <f>HLOOKUP(C22,'data-sem'!1:1048576,35)</f>
        <v>492004.70981899247</v>
      </c>
      <c r="D55" s="14">
        <f>HLOOKUP(D22,'data-sem'!1:1048576,35)</f>
        <v>672639.74559438019</v>
      </c>
      <c r="E55" s="14">
        <f>HLOOKUP(E22,'data-sem'!1:1048576,35)</f>
        <v>386219.21635367454</v>
      </c>
      <c r="F55" s="14">
        <f>HLOOKUP(F22,'data-sem'!1:1048576,35)</f>
        <v>324644.71972963912</v>
      </c>
      <c r="G55" s="14">
        <f>HLOOKUP(G22,'data-sem'!1:1048576,35)</f>
        <v>243092.8264555372</v>
      </c>
      <c r="H55" s="14">
        <f>HLOOKUP(H22,'data-sem'!1:1048576,35)</f>
        <v>299674.67431449681</v>
      </c>
      <c r="I55" s="14">
        <f>HLOOKUP(I22,'data-sem'!1:1048576,35)</f>
        <v>159726.98344693365</v>
      </c>
      <c r="J55" s="14">
        <f>HLOOKUP(J22,'data-sem'!1:1048576,35)</f>
        <v>439017.41165727377</v>
      </c>
      <c r="K55" s="14">
        <f>HLOOKUP(K22,'data-sem'!1:1048576,35)</f>
        <v>370121.15230578947</v>
      </c>
      <c r="L55" s="14">
        <f>HLOOKUP(L22,'data-sem'!1:1048576,35)</f>
        <v>551539.14714779856</v>
      </c>
      <c r="M55" s="14">
        <f>HLOOKUP(M22,'data-sem'!1:1048576,35)</f>
        <v>341590.96101475932</v>
      </c>
      <c r="N55" s="14">
        <f>HLOOKUP(N22,'data-sem'!1:1048576,35)</f>
        <v>205084.86259392038</v>
      </c>
      <c r="O55" s="14">
        <f>HLOOKUP(O22,'data-sem'!1:1048576,35)</f>
        <v>297465.81743281276</v>
      </c>
      <c r="P55" s="14">
        <f>HLOOKUP(P22,'data-sem'!1:1048576,35)</f>
        <v>416840.08878900856</v>
      </c>
      <c r="Q55" s="14">
        <f>HLOOKUP(Q22,'data-sem'!1:1048576,35)</f>
        <v>383240.74242425594</v>
      </c>
      <c r="R55" s="14">
        <f>HLOOKUP(R22,'data-sem'!1:1048576,35)</f>
        <v>242588.833129159</v>
      </c>
      <c r="S55" s="14">
        <f>HLOOKUP(S22,'data-sem'!1:1048576,35)</f>
        <v>345608.49237162486</v>
      </c>
      <c r="T55" s="14">
        <f>HLOOKUP(T22,'data-sem'!1:1048576,35)</f>
        <v>487045.47852397105</v>
      </c>
      <c r="U55" s="14">
        <f>HLOOKUP(U22,'data-sem'!1:1048576,35)</f>
        <v>546088.71620188362</v>
      </c>
      <c r="V55" s="14">
        <f>HLOOKUP(V22,'data-sem'!1:1048576,35)</f>
        <v>669001.9076268624</v>
      </c>
      <c r="W55" s="14">
        <f>HLOOKUP(W22,'data-sem'!1:1048576,35)</f>
        <v>925360.88202492974</v>
      </c>
      <c r="X55" s="14">
        <f>HLOOKUP(X22,'data-sem'!1:1048576,35)</f>
        <v>787996.02274827613</v>
      </c>
      <c r="Y55" s="14">
        <f>HLOOKUP(Y22,'data-sem'!1:1048576,35)</f>
        <v>354106.10758532258</v>
      </c>
      <c r="Z55" s="14">
        <f>HLOOKUP(Z22,'data-sem'!1:1048576,35)</f>
        <v>430119.51000535727</v>
      </c>
    </row>
    <row r="56" spans="1:26" x14ac:dyDescent="0.25">
      <c r="A56" s="14" t="s">
        <v>75</v>
      </c>
      <c r="B56" s="17">
        <f>B54/B53</f>
        <v>1.0477029898105204E-2</v>
      </c>
      <c r="C56" s="17">
        <f t="shared" ref="C56:Z56" si="7">C54/C53</f>
        <v>8.9545430209522856E-3</v>
      </c>
      <c r="D56" s="17">
        <f t="shared" si="7"/>
        <v>7.3852346020620756E-3</v>
      </c>
      <c r="E56" s="17">
        <f t="shared" si="7"/>
        <v>9.0853177108208404E-3</v>
      </c>
      <c r="F56" s="17">
        <f t="shared" si="7"/>
        <v>5.4320018543315704E-3</v>
      </c>
      <c r="G56" s="17">
        <f t="shared" si="7"/>
        <v>1.0909557368322909E-2</v>
      </c>
      <c r="H56" s="17">
        <f t="shared" si="7"/>
        <v>1.6234668243975871E-2</v>
      </c>
      <c r="I56" s="17">
        <f t="shared" si="7"/>
        <v>1.3040372998566483E-2</v>
      </c>
      <c r="J56" s="17">
        <f t="shared" si="7"/>
        <v>2.146640274819487E-2</v>
      </c>
      <c r="K56" s="17">
        <f t="shared" si="7"/>
        <v>2.274859675196059E-2</v>
      </c>
      <c r="L56" s="17">
        <f t="shared" si="7"/>
        <v>2.6029612628513197E-2</v>
      </c>
      <c r="M56" s="17">
        <f t="shared" si="7"/>
        <v>2.0019061945481937E-2</v>
      </c>
      <c r="N56" s="17">
        <f t="shared" si="7"/>
        <v>1.4538022506292967E-2</v>
      </c>
      <c r="O56" s="17">
        <f t="shared" si="7"/>
        <v>1.720389638077224E-2</v>
      </c>
      <c r="P56" s="17">
        <f t="shared" si="7"/>
        <v>1.2893988499113926E-2</v>
      </c>
      <c r="Q56" s="17">
        <f t="shared" si="7"/>
        <v>1.5995761381091683E-2</v>
      </c>
      <c r="R56" s="17">
        <f t="shared" si="7"/>
        <v>1.1826202833404456E-2</v>
      </c>
      <c r="S56" s="17">
        <f t="shared" si="7"/>
        <v>1.1689476056409054E-2</v>
      </c>
      <c r="T56" s="17">
        <f t="shared" si="7"/>
        <v>9.0479524561929425E-3</v>
      </c>
      <c r="U56" s="17">
        <f t="shared" si="7"/>
        <v>6.5049941672370047E-3</v>
      </c>
      <c r="V56" s="17">
        <f t="shared" si="7"/>
        <v>9.68776670569786E-3</v>
      </c>
      <c r="W56" s="17">
        <f t="shared" si="7"/>
        <v>1.4415782909076786E-2</v>
      </c>
      <c r="X56" s="17">
        <f t="shared" si="7"/>
        <v>1.8975945222158685E-2</v>
      </c>
      <c r="Y56" s="17">
        <f t="shared" si="7"/>
        <v>1.5658414298106955E-2</v>
      </c>
      <c r="Z56" s="17">
        <f t="shared" si="7"/>
        <v>1.8742198643832354E-2</v>
      </c>
    </row>
    <row r="57" spans="1:26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x14ac:dyDescent="0.25">
      <c r="A58" s="14" t="s">
        <v>76</v>
      </c>
      <c r="B58" s="15">
        <f>HLOOKUP(B22,'data-sem'!1:1048576,38)</f>
        <v>12804.918989483891</v>
      </c>
      <c r="C58" s="15">
        <f>HLOOKUP(C22,'data-sem'!1:1048576,38)</f>
        <v>17891.344667143752</v>
      </c>
      <c r="D58" s="15">
        <f>HLOOKUP(D22,'data-sem'!1:1048576,38)</f>
        <v>14546.294342196647</v>
      </c>
      <c r="E58" s="15">
        <f>HLOOKUP(E22,'data-sem'!1:1048576,38)</f>
        <v>15854.024951510217</v>
      </c>
      <c r="F58" s="15">
        <f>HLOOKUP(F22,'data-sem'!1:1048576,38)</f>
        <v>22862.335397838604</v>
      </c>
      <c r="G58" s="15">
        <f>HLOOKUP(G22,'data-sem'!1:1048576,38)</f>
        <v>11605.759744497238</v>
      </c>
      <c r="H58" s="15">
        <f>HLOOKUP(H22,'data-sem'!1:1048576,38)</f>
        <v>22417.666503278793</v>
      </c>
      <c r="I58" s="15">
        <f>HLOOKUP(I22,'data-sem'!1:1048576,38)</f>
        <v>19229.892227849756</v>
      </c>
      <c r="J58" s="15">
        <f>HLOOKUP(J22,'data-sem'!1:1048576,38)</f>
        <v>20303.036821128677</v>
      </c>
      <c r="K58" s="15">
        <f>HLOOKUP(K22,'data-sem'!1:1048576,38)</f>
        <v>12656.79872074422</v>
      </c>
      <c r="L58" s="15">
        <f>HLOOKUP(L22,'data-sem'!1:1048576,38)</f>
        <v>16740.360032278335</v>
      </c>
      <c r="M58" s="15">
        <f>HLOOKUP(M22,'data-sem'!1:1048576,38)</f>
        <v>13580.955761019857</v>
      </c>
      <c r="N58" s="15">
        <f>HLOOKUP(N22,'data-sem'!1:1048576,38)</f>
        <v>9220.6292744570783</v>
      </c>
      <c r="O58" s="15">
        <f>HLOOKUP(O22,'data-sem'!1:1048576,38)</f>
        <v>13084.494374282791</v>
      </c>
      <c r="P58" s="15">
        <f>HLOOKUP(P22,'data-sem'!1:1048576,38)</f>
        <v>18982.369532504308</v>
      </c>
      <c r="Q58" s="15">
        <f>HLOOKUP(Q22,'data-sem'!1:1048576,38)</f>
        <v>12367.077589883764</v>
      </c>
      <c r="R58" s="15">
        <f>HLOOKUP(R22,'data-sem'!1:1048576,38)</f>
        <v>21118.349714845102</v>
      </c>
      <c r="S58" s="15">
        <f>HLOOKUP(S22,'data-sem'!1:1048576,38)</f>
        <v>17550.932537200064</v>
      </c>
      <c r="T58" s="15">
        <f>HLOOKUP(T22,'data-sem'!1:1048576,38)</f>
        <v>17779.443399479416</v>
      </c>
      <c r="U58" s="15">
        <f>HLOOKUP(U22,'data-sem'!1:1048576,38)</f>
        <v>18385.758761481724</v>
      </c>
      <c r="V58" s="15">
        <f>HLOOKUP(V22,'data-sem'!1:1048576,38)</f>
        <v>8817.3367877251512</v>
      </c>
      <c r="W58" s="15">
        <f>HLOOKUP(W22,'data-sem'!1:1048576,38)</f>
        <v>9714.8265233587663</v>
      </c>
      <c r="X58" s="15">
        <f>HLOOKUP(X22,'data-sem'!1:1048576,38)</f>
        <v>11151.279247608029</v>
      </c>
      <c r="Y58" s="15">
        <f>HLOOKUP(Y22,'data-sem'!1:1048576,38)</f>
        <v>21241.740367173828</v>
      </c>
      <c r="Z58" s="15">
        <f>HLOOKUP(Z22,'data-sem'!1:1048576,38)</f>
        <v>11660.345944978473</v>
      </c>
    </row>
    <row r="59" spans="1:26" x14ac:dyDescent="0.25">
      <c r="A59" s="14" t="s">
        <v>77</v>
      </c>
      <c r="B59" s="15">
        <f>HLOOKUP(B22,'data-sem'!1:1048576,39)</f>
        <v>316.6013060781932</v>
      </c>
      <c r="C59" s="15">
        <f>HLOOKUP(C22,'data-sem'!1:1048576,39)</f>
        <v>366.44375992575453</v>
      </c>
      <c r="D59" s="15">
        <f>HLOOKUP(D22,'data-sem'!1:1048576,39)</f>
        <v>302.67152217856807</v>
      </c>
      <c r="E59" s="15">
        <f>HLOOKUP(E22,'data-sem'!1:1048576,39)</f>
        <v>330.54295114120168</v>
      </c>
      <c r="F59" s="15">
        <f>HLOOKUP(F22,'data-sem'!1:1048576,39)</f>
        <v>188.81414551912184</v>
      </c>
      <c r="G59" s="15">
        <f>HLOOKUP(G22,'data-sem'!1:1048576,39)</f>
        <v>176.08328834961964</v>
      </c>
      <c r="H59" s="15">
        <f>HLOOKUP(H22,'data-sem'!1:1048576,39)</f>
        <v>318.86759346773158</v>
      </c>
      <c r="I59" s="15">
        <f>HLOOKUP(I22,'data-sem'!1:1048576,39)</f>
        <v>196.85851000734417</v>
      </c>
      <c r="J59" s="15">
        <f>HLOOKUP(J22,'data-sem'!1:1048576,39)</f>
        <v>318.60921933620756</v>
      </c>
      <c r="K59" s="15">
        <f>HLOOKUP(K22,'data-sem'!1:1048576,39)</f>
        <v>300.86680804663513</v>
      </c>
      <c r="L59" s="15">
        <f>HLOOKUP(L22,'data-sem'!1:1048576,39)</f>
        <v>321.5233531175424</v>
      </c>
      <c r="M59" s="15">
        <f>HLOOKUP(M22,'data-sem'!1:1048576,39)</f>
        <v>167.41820709958657</v>
      </c>
      <c r="N59" s="15">
        <f>HLOOKUP(N22,'data-sem'!1:1048576,39)</f>
        <v>213.38698748919126</v>
      </c>
      <c r="O59" s="15">
        <f>HLOOKUP(O22,'data-sem'!1:1048576,39)</f>
        <v>159.63350405243014</v>
      </c>
      <c r="P59" s="15">
        <f>HLOOKUP(P22,'data-sem'!1:1048576,39)</f>
        <v>198.8760245050222</v>
      </c>
      <c r="Q59" s="15">
        <f>HLOOKUP(Q22,'data-sem'!1:1048576,39)</f>
        <v>218.16422588224475</v>
      </c>
      <c r="R59" s="15">
        <f>HLOOKUP(R22,'data-sem'!1:1048576,39)</f>
        <v>282.44392785146891</v>
      </c>
      <c r="S59" s="15">
        <f>HLOOKUP(S22,'data-sem'!1:1048576,39)</f>
        <v>305.10541699855474</v>
      </c>
      <c r="T59" s="15">
        <f>HLOOKUP(T22,'data-sem'!1:1048576,39)</f>
        <v>241.62367864490241</v>
      </c>
      <c r="U59" s="15">
        <f>HLOOKUP(U22,'data-sem'!1:1048576,39)</f>
        <v>243.78584813540402</v>
      </c>
      <c r="V59" s="15">
        <f>HLOOKUP(V22,'data-sem'!1:1048576,39)</f>
        <v>256.02712525738582</v>
      </c>
      <c r="W59" s="15">
        <f>HLOOKUP(W22,'data-sem'!1:1048576,39)</f>
        <v>190.49252074117413</v>
      </c>
      <c r="X59" s="15">
        <f>HLOOKUP(X22,'data-sem'!1:1048576,39)</f>
        <v>111.79066994890437</v>
      </c>
      <c r="Y59" s="15">
        <f>HLOOKUP(Y22,'data-sem'!1:1048576,39)</f>
        <v>225.00546902286439</v>
      </c>
      <c r="Z59" s="15">
        <f>HLOOKUP(Z22,'data-sem'!1:1048576,39)</f>
        <v>322.74774819332225</v>
      </c>
    </row>
    <row r="60" spans="1:26" x14ac:dyDescent="0.25">
      <c r="A60" s="14" t="s">
        <v>78</v>
      </c>
      <c r="B60" s="16">
        <f>HLOOKUP(B22,'data-sem'!1:1048576,40)</f>
        <v>227356.5351186585</v>
      </c>
      <c r="C60" s="16">
        <f>HLOOKUP(C22,'data-sem'!1:1048576,40)</f>
        <v>654036.8559982779</v>
      </c>
      <c r="D60" s="16">
        <f>HLOOKUP(D22,'data-sem'!1:1048576,40)</f>
        <v>571662.4490811025</v>
      </c>
      <c r="E60" s="16">
        <f>HLOOKUP(E22,'data-sem'!1:1048576,40)</f>
        <v>477174.19300909247</v>
      </c>
      <c r="F60" s="16">
        <f>HLOOKUP(F22,'data-sem'!1:1048576,40)</f>
        <v>293624.16737724579</v>
      </c>
      <c r="G60" s="16">
        <f>HLOOKUP(G22,'data-sem'!1:1048576,40)</f>
        <v>375069.8426675623</v>
      </c>
      <c r="H60" s="16">
        <f>HLOOKUP(H22,'data-sem'!1:1048576,40)</f>
        <v>302218.01723447302</v>
      </c>
      <c r="I60" s="16">
        <f>HLOOKUP(I22,'data-sem'!1:1048576,40)</f>
        <v>456204.15915947518</v>
      </c>
      <c r="J60" s="16">
        <f>HLOOKUP(J22,'data-sem'!1:1048576,40)</f>
        <v>643484.08363336429</v>
      </c>
      <c r="K60" s="16">
        <f>HLOOKUP(K22,'data-sem'!1:1048576,40)</f>
        <v>407849.32575051568</v>
      </c>
      <c r="L60" s="16">
        <f>HLOOKUP(L22,'data-sem'!1:1048576,40)</f>
        <v>440137.45093987969</v>
      </c>
      <c r="M60" s="16">
        <f>HLOOKUP(M22,'data-sem'!1:1048576,40)</f>
        <v>236128.28554351639</v>
      </c>
      <c r="N60" s="16">
        <f>HLOOKUP(N22,'data-sem'!1:1048576,40)</f>
        <v>313526.25675899972</v>
      </c>
      <c r="O60" s="16">
        <f>HLOOKUP(O22,'data-sem'!1:1048576,40)</f>
        <v>147353.773185592</v>
      </c>
      <c r="P60" s="16">
        <f>HLOOKUP(P22,'data-sem'!1:1048576,40)</f>
        <v>310086.00037312484</v>
      </c>
      <c r="Q60" s="16">
        <f>HLOOKUP(Q22,'data-sem'!1:1048576,40)</f>
        <v>245305.15492270674</v>
      </c>
      <c r="R60" s="16">
        <f>HLOOKUP(R22,'data-sem'!1:1048576,40)</f>
        <v>421072.99881721509</v>
      </c>
      <c r="S60" s="16">
        <f>HLOOKUP(S22,'data-sem'!1:1048576,40)</f>
        <v>600621.14854672004</v>
      </c>
      <c r="T60" s="16">
        <f>HLOOKUP(T22,'data-sem'!1:1048576,40)</f>
        <v>354397.15116591152</v>
      </c>
      <c r="U60" s="16">
        <f>HLOOKUP(U22,'data-sem'!1:1048576,40)</f>
        <v>529440.13455734018</v>
      </c>
      <c r="V60" s="16">
        <f>HLOOKUP(V22,'data-sem'!1:1048576,40)</f>
        <v>258680.22464849579</v>
      </c>
      <c r="W60" s="16">
        <f>HLOOKUP(W22,'data-sem'!1:1048576,40)</f>
        <v>310663.68774776766</v>
      </c>
      <c r="X60" s="16">
        <f>HLOOKUP(X22,'data-sem'!1:1048576,40)</f>
        <v>155190.67488816517</v>
      </c>
      <c r="Y60" s="16">
        <f>HLOOKUP(Y22,'data-sem'!1:1048576,40)</f>
        <v>444584.8048343244</v>
      </c>
      <c r="Z60" s="16">
        <f>HLOOKUP(Z22,'data-sem'!1:1048576,40)</f>
        <v>400328.07759205275</v>
      </c>
    </row>
    <row r="61" spans="1:26" x14ac:dyDescent="0.25">
      <c r="A61" s="14" t="s">
        <v>79</v>
      </c>
      <c r="B61" s="17">
        <f>B59/B58</f>
        <v>2.4724975326919581E-2</v>
      </c>
      <c r="C61" s="17">
        <f t="shared" ref="C61:Z61" si="8">C59/C58</f>
        <v>2.048162207722172E-2</v>
      </c>
      <c r="D61" s="17">
        <f t="shared" si="8"/>
        <v>2.0807465809389185E-2</v>
      </c>
      <c r="E61" s="17">
        <f t="shared" si="8"/>
        <v>2.0849150430390546E-2</v>
      </c>
      <c r="F61" s="17">
        <f t="shared" si="8"/>
        <v>8.2587426976936159E-3</v>
      </c>
      <c r="G61" s="17">
        <f t="shared" si="8"/>
        <v>1.5172060444651879E-2</v>
      </c>
      <c r="H61" s="17">
        <f t="shared" si="8"/>
        <v>1.4223942238639969E-2</v>
      </c>
      <c r="I61" s="17">
        <f t="shared" si="8"/>
        <v>1.0237109375071961E-2</v>
      </c>
      <c r="J61" s="17">
        <f t="shared" si="8"/>
        <v>1.5692687854687918E-2</v>
      </c>
      <c r="K61" s="17">
        <f t="shared" si="8"/>
        <v>2.3771161625057758E-2</v>
      </c>
      <c r="L61" s="17">
        <f t="shared" si="8"/>
        <v>1.9206477787669398E-2</v>
      </c>
      <c r="M61" s="17">
        <f t="shared" si="8"/>
        <v>1.2327424523398517E-2</v>
      </c>
      <c r="N61" s="17">
        <f t="shared" si="8"/>
        <v>2.3142345401556744E-2</v>
      </c>
      <c r="O61" s="17">
        <f t="shared" si="8"/>
        <v>1.220020426361949E-2</v>
      </c>
      <c r="P61" s="17">
        <f t="shared" si="8"/>
        <v>1.04768808848905E-2</v>
      </c>
      <c r="Q61" s="17">
        <f t="shared" si="8"/>
        <v>1.7640725894749985E-2</v>
      </c>
      <c r="R61" s="17">
        <f t="shared" si="8"/>
        <v>1.3374337089082557E-2</v>
      </c>
      <c r="S61" s="17">
        <f t="shared" si="8"/>
        <v>1.738400032886394E-2</v>
      </c>
      <c r="T61" s="17">
        <f t="shared" si="8"/>
        <v>1.3590058654590793E-2</v>
      </c>
      <c r="U61" s="17">
        <f t="shared" si="8"/>
        <v>1.3259493464372918E-2</v>
      </c>
      <c r="V61" s="17">
        <f t="shared" si="8"/>
        <v>2.9036786438032852E-2</v>
      </c>
      <c r="W61" s="17">
        <f t="shared" si="8"/>
        <v>1.9608432562655168E-2</v>
      </c>
      <c r="X61" s="17">
        <f t="shared" si="8"/>
        <v>1.002491888747954E-2</v>
      </c>
      <c r="Y61" s="17">
        <f t="shared" si="8"/>
        <v>1.0592609886644656E-2</v>
      </c>
      <c r="Z61" s="17">
        <f t="shared" si="8"/>
        <v>2.7679088572180273E-2</v>
      </c>
    </row>
    <row r="62" spans="1:26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x14ac:dyDescent="0.25">
      <c r="A63" s="14" t="s">
        <v>80</v>
      </c>
      <c r="B63" s="15">
        <f>HLOOKUP(B22,'data-sem'!1:1048576,43)</f>
        <v>29977.822343317737</v>
      </c>
      <c r="C63" s="15">
        <f>HLOOKUP(C22,'data-sem'!1:1048576,43)</f>
        <v>48030.9818026172</v>
      </c>
      <c r="D63" s="15">
        <f>HLOOKUP(D22,'data-sem'!1:1048576,43)</f>
        <v>49965.344312023182</v>
      </c>
      <c r="E63" s="15">
        <f>HLOOKUP(E22,'data-sem'!1:1048576,43)</f>
        <v>45415.358291371464</v>
      </c>
      <c r="F63" s="15">
        <f>HLOOKUP(F22,'data-sem'!1:1048576,43)</f>
        <v>26419.543210045984</v>
      </c>
      <c r="G63" s="15">
        <f>HLOOKUP(G22,'data-sem'!1:1048576,43)</f>
        <v>38577.252259191817</v>
      </c>
      <c r="H63" s="15">
        <f>HLOOKUP(H22,'data-sem'!1:1048576,43)</f>
        <v>40803.136011528943</v>
      </c>
      <c r="I63" s="15">
        <f>HLOOKUP(I22,'data-sem'!1:1048576,43)</f>
        <v>23479.951959483606</v>
      </c>
      <c r="J63" s="15">
        <f>HLOOKUP(J22,'data-sem'!1:1048576,43)</f>
        <v>40050.252231325067</v>
      </c>
      <c r="K63" s="15">
        <f>HLOOKUP(K22,'data-sem'!1:1048576,43)</f>
        <v>47354.202186662296</v>
      </c>
      <c r="L63" s="15">
        <f>HLOOKUP(L22,'data-sem'!1:1048576,43)</f>
        <v>61203.80210407541</v>
      </c>
      <c r="M63" s="15">
        <f>HLOOKUP(M22,'data-sem'!1:1048576,43)</f>
        <v>46239.190049573896</v>
      </c>
      <c r="N63" s="15">
        <f>HLOOKUP(N22,'data-sem'!1:1048576,43)</f>
        <v>35520.023457343559</v>
      </c>
      <c r="O63" s="15">
        <f>HLOOKUP(O22,'data-sem'!1:1048576,43)</f>
        <v>53661.645329335443</v>
      </c>
      <c r="P63" s="15">
        <f>HLOOKUP(P22,'data-sem'!1:1048576,43)</f>
        <v>31653.75964817551</v>
      </c>
      <c r="Q63" s="15">
        <f>HLOOKUP(Q22,'data-sem'!1:1048576,43)</f>
        <v>39017.671840262527</v>
      </c>
      <c r="R63" s="15">
        <f>HLOOKUP(R22,'data-sem'!1:1048576,43)</f>
        <v>35877.677110220044</v>
      </c>
      <c r="S63" s="15">
        <f>HLOOKUP(S22,'data-sem'!1:1048576,43)</f>
        <v>28459.557524019419</v>
      </c>
      <c r="T63" s="15">
        <f>HLOOKUP(T22,'data-sem'!1:1048576,43)</f>
        <v>35267.232822410799</v>
      </c>
      <c r="U63" s="15">
        <f>HLOOKUP(U22,'data-sem'!1:1048576,43)</f>
        <v>41677.553856170867</v>
      </c>
      <c r="V63" s="15">
        <f>HLOOKUP(V22,'data-sem'!1:1048576,43)</f>
        <v>37010.210431665568</v>
      </c>
      <c r="W63" s="15">
        <f>HLOOKUP(W22,'data-sem'!1:1048576,43)</f>
        <v>61693.059162690603</v>
      </c>
      <c r="X63" s="15">
        <f>HLOOKUP(X22,'data-sem'!1:1048576,43)</f>
        <v>37485.622691099939</v>
      </c>
      <c r="Y63" s="15">
        <f>HLOOKUP(Y22,'data-sem'!1:1048576,43)</f>
        <v>27690.382954141427</v>
      </c>
      <c r="Z63" s="15">
        <f>HLOOKUP(Z22,'data-sem'!1:1048576,43)</f>
        <v>28584.255984475843</v>
      </c>
    </row>
    <row r="64" spans="1:26" x14ac:dyDescent="0.25">
      <c r="A64" s="14" t="s">
        <v>81</v>
      </c>
      <c r="B64" s="15">
        <f>HLOOKUP(B22,'data-sem'!1:1048576,44)</f>
        <v>715.6580880465624</v>
      </c>
      <c r="C64" s="15">
        <f>HLOOKUP(C22,'data-sem'!1:1048576,44)</f>
        <v>587.67185038656658</v>
      </c>
      <c r="D64" s="15">
        <f>HLOOKUP(D22,'data-sem'!1:1048576,44)</f>
        <v>817.3316475492627</v>
      </c>
      <c r="E64" s="15">
        <f>HLOOKUP(E22,'data-sem'!1:1048576,44)</f>
        <v>627.58878508923283</v>
      </c>
      <c r="F64" s="15">
        <f>HLOOKUP(F22,'data-sem'!1:1048576,44)</f>
        <v>903.82194591094333</v>
      </c>
      <c r="G64" s="15">
        <f>HLOOKUP(G22,'data-sem'!1:1048576,44)</f>
        <v>841.77320705967952</v>
      </c>
      <c r="H64" s="15">
        <f>HLOOKUP(H22,'data-sem'!1:1048576,44)</f>
        <v>587.45989156276937</v>
      </c>
      <c r="I64" s="15">
        <f>HLOOKUP(I22,'data-sem'!1:1048576,44)</f>
        <v>961.7206574603108</v>
      </c>
      <c r="J64" s="15">
        <f>HLOOKUP(J22,'data-sem'!1:1048576,44)</f>
        <v>795.94366933213064</v>
      </c>
      <c r="K64" s="15">
        <f>HLOOKUP(K22,'data-sem'!1:1048576,44)</f>
        <v>1137.8140997938167</v>
      </c>
      <c r="L64" s="15">
        <f>HLOOKUP(L22,'data-sem'!1:1048576,44)</f>
        <v>780.02169650927885</v>
      </c>
      <c r="M64" s="15">
        <f>HLOOKUP(M22,'data-sem'!1:1048576,44)</f>
        <v>1197.0716727956242</v>
      </c>
      <c r="N64" s="15">
        <f>HLOOKUP(N22,'data-sem'!1:1048576,44)</f>
        <v>630.1083760801024</v>
      </c>
      <c r="O64" s="15">
        <f>HLOOKUP(O22,'data-sem'!1:1048576,44)</f>
        <v>932.66743644835321</v>
      </c>
      <c r="P64" s="15">
        <f>HLOOKUP(P22,'data-sem'!1:1048576,44)</f>
        <v>763.58056529518126</v>
      </c>
      <c r="Q64" s="15">
        <f>HLOOKUP(Q22,'data-sem'!1:1048576,44)</f>
        <v>831.59976141362461</v>
      </c>
      <c r="R64" s="15">
        <f>HLOOKUP(R22,'data-sem'!1:1048576,44)</f>
        <v>975.9362057869389</v>
      </c>
      <c r="S64" s="15">
        <f>HLOOKUP(S22,'data-sem'!1:1048576,44)</f>
        <v>928.59557677593716</v>
      </c>
      <c r="T64" s="15">
        <f>HLOOKUP(T22,'data-sem'!1:1048576,44)</f>
        <v>568.49259501269069</v>
      </c>
      <c r="U64" s="15">
        <f>HLOOKUP(U22,'data-sem'!1:1048576,44)</f>
        <v>926.56911322404744</v>
      </c>
      <c r="V64" s="15">
        <f>HLOOKUP(V22,'data-sem'!1:1048576,44)</f>
        <v>1135.0914268954371</v>
      </c>
      <c r="W64" s="15">
        <f>HLOOKUP(W22,'data-sem'!1:1048576,44)</f>
        <v>1536.9033156433052</v>
      </c>
      <c r="X64" s="15">
        <f>HLOOKUP(X22,'data-sem'!1:1048576,44)</f>
        <v>1487.5274383036256</v>
      </c>
      <c r="Y64" s="15">
        <f>HLOOKUP(Y22,'data-sem'!1:1048576,44)</f>
        <v>906.44811650133545</v>
      </c>
      <c r="Z64" s="15">
        <f>HLOOKUP(Z22,'data-sem'!1:1048576,44)</f>
        <v>610.30535919955958</v>
      </c>
    </row>
    <row r="65" spans="1:26" x14ac:dyDescent="0.25">
      <c r="A65" s="14" t="s">
        <v>82</v>
      </c>
      <c r="B65" s="16">
        <f>HLOOKUP(B22,'data-sem'!1:1048576,45)</f>
        <v>1079425.1525568196</v>
      </c>
      <c r="C65" s="16">
        <f>HLOOKUP(C22,'data-sem'!1:1048576,45)</f>
        <v>1705849.3370798277</v>
      </c>
      <c r="D65" s="16">
        <f>HLOOKUP(D22,'data-sem'!1:1048576,45)</f>
        <v>1956408.935106318</v>
      </c>
      <c r="E65" s="16">
        <f>HLOOKUP(E22,'data-sem'!1:1048576,45)</f>
        <v>1248265.3209859221</v>
      </c>
      <c r="F65" s="16">
        <f>HLOOKUP(F22,'data-sem'!1:1048576,45)</f>
        <v>1017360.1608927326</v>
      </c>
      <c r="G65" s="16">
        <f>HLOOKUP(G22,'data-sem'!1:1048576,45)</f>
        <v>1291373.2651184814</v>
      </c>
      <c r="H65" s="16">
        <f>HLOOKUP(H22,'data-sem'!1:1048576,45)</f>
        <v>1430259.9836647462</v>
      </c>
      <c r="I65" s="16">
        <f>HLOOKUP(I22,'data-sem'!1:1048576,45)</f>
        <v>1193783.9058953815</v>
      </c>
      <c r="J65" s="16">
        <f>HLOOKUP(J22,'data-sem'!1:1048576,45)</f>
        <v>1143788.2150257111</v>
      </c>
      <c r="K65" s="16">
        <f>HLOOKUP(K22,'data-sem'!1:1048576,45)</f>
        <v>1917909.9105812092</v>
      </c>
      <c r="L65" s="16">
        <f>HLOOKUP(L22,'data-sem'!1:1048576,45)</f>
        <v>1747658.6191743675</v>
      </c>
      <c r="M65" s="16">
        <f>HLOOKUP(M22,'data-sem'!1:1048576,45)</f>
        <v>1403955.186517444</v>
      </c>
      <c r="N65" s="16">
        <f>HLOOKUP(N22,'data-sem'!1:1048576,45)</f>
        <v>989773.30347744212</v>
      </c>
      <c r="O65" s="16">
        <f>HLOOKUP(O22,'data-sem'!1:1048576,45)</f>
        <v>1605412.9840606416</v>
      </c>
      <c r="P65" s="16">
        <f>HLOOKUP(P22,'data-sem'!1:1048576,45)</f>
        <v>1552038.7658520038</v>
      </c>
      <c r="Q65" s="16">
        <f>HLOOKUP(Q22,'data-sem'!1:1048576,45)</f>
        <v>1631867.1225628429</v>
      </c>
      <c r="R65" s="16">
        <f>HLOOKUP(R22,'data-sem'!1:1048576,45)</f>
        <v>1345292.8369483105</v>
      </c>
      <c r="S65" s="16">
        <f>HLOOKUP(S22,'data-sem'!1:1048576,45)</f>
        <v>1646781.0057114449</v>
      </c>
      <c r="T65" s="16">
        <f>HLOOKUP(T22,'data-sem'!1:1048576,45)</f>
        <v>1892207.5955319852</v>
      </c>
      <c r="U65" s="16">
        <f>HLOOKUP(U22,'data-sem'!1:1048576,45)</f>
        <v>1551517.8641526366</v>
      </c>
      <c r="V65" s="16">
        <f>HLOOKUP(V22,'data-sem'!1:1048576,45)</f>
        <v>1282931.2227661039</v>
      </c>
      <c r="W65" s="16">
        <f>HLOOKUP(W22,'data-sem'!1:1048576,45)</f>
        <v>1402372.09854566</v>
      </c>
      <c r="X65" s="16">
        <f>HLOOKUP(X22,'data-sem'!1:1048576,45)</f>
        <v>1530514.6527246123</v>
      </c>
      <c r="Y65" s="16">
        <f>HLOOKUP(Y22,'data-sem'!1:1048576,45)</f>
        <v>1097963.6856911061</v>
      </c>
      <c r="Z65" s="16">
        <f>HLOOKUP(Z22,'data-sem'!1:1048576,45)</f>
        <v>847458.2593162047</v>
      </c>
    </row>
    <row r="66" spans="1:26" x14ac:dyDescent="0.25">
      <c r="A66" s="14" t="s">
        <v>83</v>
      </c>
      <c r="B66" s="17">
        <f>B64/B63</f>
        <v>2.3872917780703558E-2</v>
      </c>
      <c r="C66" s="17">
        <f t="shared" ref="C66:Z66" si="9">C64/C63</f>
        <v>1.2235266245474592E-2</v>
      </c>
      <c r="D66" s="17">
        <f t="shared" si="9"/>
        <v>1.6357970885684216E-2</v>
      </c>
      <c r="E66" s="17">
        <f t="shared" si="9"/>
        <v>1.3818866760068464E-2</v>
      </c>
      <c r="F66" s="17">
        <f t="shared" si="9"/>
        <v>3.4210354763713959E-2</v>
      </c>
      <c r="G66" s="17">
        <f t="shared" si="9"/>
        <v>2.1820455262183944E-2</v>
      </c>
      <c r="H66" s="17">
        <f t="shared" si="9"/>
        <v>1.4397420124688023E-2</v>
      </c>
      <c r="I66" s="17">
        <f t="shared" si="9"/>
        <v>4.0959225943895922E-2</v>
      </c>
      <c r="J66" s="17">
        <f t="shared" si="9"/>
        <v>1.9873624384057886E-2</v>
      </c>
      <c r="K66" s="17">
        <f t="shared" si="9"/>
        <v>2.4027732434573495E-2</v>
      </c>
      <c r="L66" s="17">
        <f t="shared" si="9"/>
        <v>1.2744660784028958E-2</v>
      </c>
      <c r="M66" s="17">
        <f t="shared" si="9"/>
        <v>2.5888681689973839E-2</v>
      </c>
      <c r="N66" s="17">
        <f t="shared" si="9"/>
        <v>1.7739525899717026E-2</v>
      </c>
      <c r="O66" s="17">
        <f t="shared" si="9"/>
        <v>1.7380522545000832E-2</v>
      </c>
      <c r="P66" s="17">
        <f t="shared" si="9"/>
        <v>2.4122902738322689E-2</v>
      </c>
      <c r="Q66" s="17">
        <f t="shared" si="9"/>
        <v>2.1313413184112454E-2</v>
      </c>
      <c r="R66" s="17">
        <f t="shared" si="9"/>
        <v>2.7201766791890094E-2</v>
      </c>
      <c r="S66" s="17">
        <f t="shared" si="9"/>
        <v>3.2628602043170106E-2</v>
      </c>
      <c r="T66" s="17">
        <f t="shared" si="9"/>
        <v>1.6119569059340495E-2</v>
      </c>
      <c r="U66" s="17">
        <f t="shared" si="9"/>
        <v>2.2231849700719845E-2</v>
      </c>
      <c r="V66" s="17">
        <f t="shared" si="9"/>
        <v>3.0669683140311575E-2</v>
      </c>
      <c r="W66" s="17">
        <f t="shared" si="9"/>
        <v>2.4912094431730831E-2</v>
      </c>
      <c r="X66" s="17">
        <f t="shared" si="9"/>
        <v>3.9682612466160345E-2</v>
      </c>
      <c r="Y66" s="17">
        <f t="shared" si="9"/>
        <v>3.2735123887687706E-2</v>
      </c>
      <c r="Z66" s="17">
        <f t="shared" si="9"/>
        <v>2.1351101792924657E-2</v>
      </c>
    </row>
    <row r="67" spans="1:26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x14ac:dyDescent="0.25">
      <c r="A68" s="14" t="s">
        <v>84</v>
      </c>
      <c r="B68" s="15">
        <f>HLOOKUP(B22,'data-sem'!1:1048576,48)</f>
        <v>15851.897031025219</v>
      </c>
      <c r="C68" s="15">
        <f>HLOOKUP(C22,'data-sem'!1:1048576,48)</f>
        <v>11537.591788827542</v>
      </c>
      <c r="D68" s="15">
        <f>HLOOKUP(D22,'data-sem'!1:1048576,48)</f>
        <v>11647.188384996616</v>
      </c>
      <c r="E68" s="15">
        <f>HLOOKUP(E22,'data-sem'!1:1048576,48)</f>
        <v>17325.871676251863</v>
      </c>
      <c r="F68" s="15">
        <f>HLOOKUP(F22,'data-sem'!1:1048576,48)</f>
        <v>14179.966533306146</v>
      </c>
      <c r="G68" s="15">
        <f>HLOOKUP(G22,'data-sem'!1:1048576,48)</f>
        <v>15665.443992043609</v>
      </c>
      <c r="H68" s="15">
        <f>HLOOKUP(H22,'data-sem'!1:1048576,48)</f>
        <v>13693.765987108885</v>
      </c>
      <c r="I68" s="15">
        <f>HLOOKUP(I22,'data-sem'!1:1048576,48)</f>
        <v>14725.060112407918</v>
      </c>
      <c r="J68" s="15">
        <f>HLOOKUP(J22,'data-sem'!1:1048576,48)</f>
        <v>17663.252605268623</v>
      </c>
      <c r="K68" s="15">
        <f>HLOOKUP(K22,'data-sem'!1:1048576,48)</f>
        <v>19063.318681048717</v>
      </c>
      <c r="L68" s="15">
        <f>HLOOKUP(L22,'data-sem'!1:1048576,48)</f>
        <v>18646.267228530989</v>
      </c>
      <c r="M68" s="15">
        <f>HLOOKUP(M22,'data-sem'!1:1048576,48)</f>
        <v>14250.218624242685</v>
      </c>
      <c r="N68" s="15">
        <f>HLOOKUP(N22,'data-sem'!1:1048576,48)</f>
        <v>18529.955884242863</v>
      </c>
      <c r="O68" s="15">
        <f>HLOOKUP(O22,'data-sem'!1:1048576,48)</f>
        <v>20336.664228849833</v>
      </c>
      <c r="P68" s="15">
        <f>HLOOKUP(P22,'data-sem'!1:1048576,48)</f>
        <v>16627.622477876856</v>
      </c>
      <c r="Q68" s="15">
        <f>HLOOKUP(Q22,'data-sem'!1:1048576,48)</f>
        <v>14224.007957417516</v>
      </c>
      <c r="R68" s="15">
        <f>HLOOKUP(R22,'data-sem'!1:1048576,48)</f>
        <v>16901.204436393607</v>
      </c>
      <c r="S68" s="15">
        <f>HLOOKUP(S22,'data-sem'!1:1048576,48)</f>
        <v>16529.388648686043</v>
      </c>
      <c r="T68" s="15">
        <f>HLOOKUP(T22,'data-sem'!1:1048576,48)</f>
        <v>18561.841081023733</v>
      </c>
      <c r="U68" s="15">
        <f>HLOOKUP(U22,'data-sem'!1:1048576,48)</f>
        <v>31773.054384188843</v>
      </c>
      <c r="V68" s="15">
        <f>HLOOKUP(V22,'data-sem'!1:1048576,48)</f>
        <v>26585.640287686871</v>
      </c>
      <c r="W68" s="15">
        <f>HLOOKUP(W22,'data-sem'!1:1048576,48)</f>
        <v>19040.951486825408</v>
      </c>
      <c r="X68" s="15">
        <f>HLOOKUP(X22,'data-sem'!1:1048576,48)</f>
        <v>17249.729564909587</v>
      </c>
      <c r="Y68" s="15">
        <f>HLOOKUP(Y22,'data-sem'!1:1048576,48)</f>
        <v>16641.503933446529</v>
      </c>
      <c r="Z68" s="15">
        <f>HLOOKUP(Z22,'data-sem'!1:1048576,48)</f>
        <v>18469.279107052105</v>
      </c>
    </row>
    <row r="69" spans="1:26" x14ac:dyDescent="0.25">
      <c r="A69" s="14" t="s">
        <v>85</v>
      </c>
      <c r="B69" s="15">
        <f>HLOOKUP(B22,'data-sem'!1:1048576,49)</f>
        <v>494.45982420845883</v>
      </c>
      <c r="C69" s="15">
        <f>HLOOKUP(C22,'data-sem'!1:1048576,49)</f>
        <v>694.6661847223121</v>
      </c>
      <c r="D69" s="15">
        <f>HLOOKUP(D22,'data-sem'!1:1048576,49)</f>
        <v>981.76448431027973</v>
      </c>
      <c r="E69" s="15">
        <f>HLOOKUP(E22,'data-sem'!1:1048576,49)</f>
        <v>644.75563066435973</v>
      </c>
      <c r="F69" s="15">
        <f>HLOOKUP(F22,'data-sem'!1:1048576,49)</f>
        <v>477.05330633728909</v>
      </c>
      <c r="G69" s="15">
        <f>HLOOKUP(G22,'data-sem'!1:1048576,49)</f>
        <v>404.84236337654539</v>
      </c>
      <c r="H69" s="15">
        <f>HLOOKUP(H22,'data-sem'!1:1048576,49)</f>
        <v>439.40460618430558</v>
      </c>
      <c r="I69" s="15">
        <f>HLOOKUP(I22,'data-sem'!1:1048576,49)</f>
        <v>499.74448447830491</v>
      </c>
      <c r="J69" s="15">
        <f>HLOOKUP(J22,'data-sem'!1:1048576,49)</f>
        <v>465.26234997823394</v>
      </c>
      <c r="K69" s="15">
        <f>HLOOKUP(K22,'data-sem'!1:1048576,49)</f>
        <v>901.45294876915784</v>
      </c>
      <c r="L69" s="15">
        <f>HLOOKUP(L22,'data-sem'!1:1048576,49)</f>
        <v>583.81935393140975</v>
      </c>
      <c r="M69" s="15">
        <f>HLOOKUP(M22,'data-sem'!1:1048576,49)</f>
        <v>341.9248097775793</v>
      </c>
      <c r="N69" s="15">
        <f>HLOOKUP(N22,'data-sem'!1:1048576,49)</f>
        <v>597.72019344214539</v>
      </c>
      <c r="O69" s="15">
        <f>HLOOKUP(O22,'data-sem'!1:1048576,49)</f>
        <v>678.74342612090209</v>
      </c>
      <c r="P69" s="15">
        <f>HLOOKUP(P22,'data-sem'!1:1048576,49)</f>
        <v>484.47812833761782</v>
      </c>
      <c r="Q69" s="15">
        <f>HLOOKUP(Q22,'data-sem'!1:1048576,49)</f>
        <v>687.97436161497615</v>
      </c>
      <c r="R69" s="15">
        <f>HLOOKUP(R22,'data-sem'!1:1048576,49)</f>
        <v>796.11973269758676</v>
      </c>
      <c r="S69" s="15">
        <f>HLOOKUP(S22,'data-sem'!1:1048576,49)</f>
        <v>456.29226252443198</v>
      </c>
      <c r="T69" s="15">
        <f>HLOOKUP(T22,'data-sem'!1:1048576,49)</f>
        <v>430.33597422797953</v>
      </c>
      <c r="U69" s="15">
        <f>HLOOKUP(U22,'data-sem'!1:1048576,49)</f>
        <v>539.83515662063746</v>
      </c>
      <c r="V69" s="15">
        <f>HLOOKUP(V22,'data-sem'!1:1048576,49)</f>
        <v>905.22055339857104</v>
      </c>
      <c r="W69" s="15">
        <f>HLOOKUP(W22,'data-sem'!1:1048576,49)</f>
        <v>1145.5698212043503</v>
      </c>
      <c r="X69" s="15">
        <f>HLOOKUP(X22,'data-sem'!1:1048576,49)</f>
        <v>732.81898480831103</v>
      </c>
      <c r="Y69" s="15">
        <f>HLOOKUP(Y22,'data-sem'!1:1048576,49)</f>
        <v>539.90572567625486</v>
      </c>
      <c r="Z69" s="15">
        <f>HLOOKUP(Z22,'data-sem'!1:1048576,49)</f>
        <v>559.57579010769336</v>
      </c>
    </row>
    <row r="70" spans="1:26" x14ac:dyDescent="0.25">
      <c r="A70" s="14" t="s">
        <v>86</v>
      </c>
      <c r="B70" s="16">
        <f>HLOOKUP(B22,'data-sem'!1:1048576,50)</f>
        <v>789571.62226799037</v>
      </c>
      <c r="C70" s="16">
        <f>HLOOKUP(C22,'data-sem'!1:1048576,50)</f>
        <v>1547191.4295611673</v>
      </c>
      <c r="D70" s="16">
        <f>HLOOKUP(D22,'data-sem'!1:1048576,50)</f>
        <v>1349593.5470665162</v>
      </c>
      <c r="E70" s="16">
        <f>HLOOKUP(E22,'data-sem'!1:1048576,50)</f>
        <v>840056.81063856999</v>
      </c>
      <c r="F70" s="16">
        <f>HLOOKUP(F22,'data-sem'!1:1048576,50)</f>
        <v>775564.9728326099</v>
      </c>
      <c r="G70" s="16">
        <f>HLOOKUP(G22,'data-sem'!1:1048576,50)</f>
        <v>1042691.3198619959</v>
      </c>
      <c r="H70" s="16">
        <f>HLOOKUP(H22,'data-sem'!1:1048576,50)</f>
        <v>646511.61105718336</v>
      </c>
      <c r="I70" s="16">
        <f>HLOOKUP(I22,'data-sem'!1:1048576,50)</f>
        <v>768342.31407965801</v>
      </c>
      <c r="J70" s="16">
        <f>HLOOKUP(J22,'data-sem'!1:1048576,50)</f>
        <v>1235363.6241924132</v>
      </c>
      <c r="K70" s="16">
        <f>HLOOKUP(K22,'data-sem'!1:1048576,50)</f>
        <v>950837.9546564942</v>
      </c>
      <c r="L70" s="16">
        <f>HLOOKUP(L22,'data-sem'!1:1048576,50)</f>
        <v>895701.90022679069</v>
      </c>
      <c r="M70" s="16">
        <f>HLOOKUP(M22,'data-sem'!1:1048576,50)</f>
        <v>505123.71742225689</v>
      </c>
      <c r="N70" s="16">
        <f>HLOOKUP(N22,'data-sem'!1:1048576,50)</f>
        <v>553269.56807672256</v>
      </c>
      <c r="O70" s="16">
        <f>HLOOKUP(O22,'data-sem'!1:1048576,50)</f>
        <v>880622.41913194163</v>
      </c>
      <c r="P70" s="16">
        <f>HLOOKUP(P22,'data-sem'!1:1048576,50)</f>
        <v>986126.04394217918</v>
      </c>
      <c r="Q70" s="16">
        <f>HLOOKUP(Q22,'data-sem'!1:1048576,50)</f>
        <v>1295872.2239105501</v>
      </c>
      <c r="R70" s="16">
        <f>HLOOKUP(R22,'data-sem'!1:1048576,50)</f>
        <v>902691.35936046089</v>
      </c>
      <c r="S70" s="16">
        <f>HLOOKUP(S22,'data-sem'!1:1048576,50)</f>
        <v>1182778.3662365887</v>
      </c>
      <c r="T70" s="16">
        <f>HLOOKUP(T22,'data-sem'!1:1048576,50)</f>
        <v>1171353.0226008878</v>
      </c>
      <c r="U70" s="16">
        <f>HLOOKUP(U22,'data-sem'!1:1048576,50)</f>
        <v>1228994.7035048837</v>
      </c>
      <c r="V70" s="16">
        <f>HLOOKUP(V22,'data-sem'!1:1048576,50)</f>
        <v>989167.46147216379</v>
      </c>
      <c r="W70" s="16">
        <f>HLOOKUP(W22,'data-sem'!1:1048576,50)</f>
        <v>952360.74049642251</v>
      </c>
      <c r="X70" s="16">
        <f>HLOOKUP(X22,'data-sem'!1:1048576,50)</f>
        <v>1257691.4462198319</v>
      </c>
      <c r="Y70" s="16">
        <f>HLOOKUP(Y22,'data-sem'!1:1048576,50)</f>
        <v>637314.1782860253</v>
      </c>
      <c r="Z70" s="16">
        <f>HLOOKUP(Z22,'data-sem'!1:1048576,50)</f>
        <v>888372.10467142146</v>
      </c>
    </row>
    <row r="71" spans="1:26" x14ac:dyDescent="0.25">
      <c r="A71" s="14" t="s">
        <v>87</v>
      </c>
      <c r="B71" s="17">
        <f>B69/B68</f>
        <v>3.1192470102518684E-2</v>
      </c>
      <c r="C71" s="17">
        <f t="shared" ref="C71:Z71" si="10">C69/C68</f>
        <v>6.0208941123657538E-2</v>
      </c>
      <c r="D71" s="17">
        <f t="shared" si="10"/>
        <v>8.4291972608165636E-2</v>
      </c>
      <c r="E71" s="17">
        <f t="shared" si="10"/>
        <v>3.72134598888961E-2</v>
      </c>
      <c r="F71" s="17">
        <f t="shared" si="10"/>
        <v>3.3642766731273886E-2</v>
      </c>
      <c r="G71" s="17">
        <f t="shared" si="10"/>
        <v>2.5843018785944565E-2</v>
      </c>
      <c r="H71" s="17">
        <f t="shared" si="10"/>
        <v>3.2087930128056427E-2</v>
      </c>
      <c r="I71" s="17">
        <f t="shared" si="10"/>
        <v>3.3938366340331635E-2</v>
      </c>
      <c r="J71" s="17">
        <f t="shared" si="10"/>
        <v>2.6340695022357023E-2</v>
      </c>
      <c r="K71" s="17">
        <f t="shared" si="10"/>
        <v>4.7287304159968374E-2</v>
      </c>
      <c r="L71" s="17">
        <f t="shared" si="10"/>
        <v>3.1310253509511936E-2</v>
      </c>
      <c r="M71" s="17">
        <f t="shared" si="10"/>
        <v>2.399435537051282E-2</v>
      </c>
      <c r="N71" s="17">
        <f t="shared" si="10"/>
        <v>3.2256967969925006E-2</v>
      </c>
      <c r="O71" s="17">
        <f t="shared" si="10"/>
        <v>3.3375356866935366E-2</v>
      </c>
      <c r="P71" s="17">
        <f t="shared" si="10"/>
        <v>2.9136945404083996E-2</v>
      </c>
      <c r="Q71" s="17">
        <f t="shared" si="10"/>
        <v>4.8367124348817042E-2</v>
      </c>
      <c r="R71" s="17">
        <f t="shared" si="10"/>
        <v>4.71043194402933E-2</v>
      </c>
      <c r="S71" s="17">
        <f t="shared" si="10"/>
        <v>2.7604908579646932E-2</v>
      </c>
      <c r="T71" s="17">
        <f t="shared" si="10"/>
        <v>2.3183905753181105E-2</v>
      </c>
      <c r="U71" s="17">
        <f t="shared" si="10"/>
        <v>1.6990345029254551E-2</v>
      </c>
      <c r="V71" s="17">
        <f t="shared" si="10"/>
        <v>3.4049228967331799E-2</v>
      </c>
      <c r="W71" s="17">
        <f t="shared" si="10"/>
        <v>6.0163475653881034E-2</v>
      </c>
      <c r="X71" s="17">
        <f t="shared" si="10"/>
        <v>4.2482926010565088E-2</v>
      </c>
      <c r="Y71" s="17">
        <f t="shared" si="10"/>
        <v>3.244332530494063E-2</v>
      </c>
      <c r="Z71" s="17">
        <f t="shared" si="10"/>
        <v>3.0297651947553877E-2</v>
      </c>
    </row>
    <row r="72" spans="1:26" x14ac:dyDescent="0.25">
      <c r="A72" s="14" t="s">
        <v>88</v>
      </c>
      <c r="B72" s="15">
        <f>HLOOKUP(B22,'data-sem'!1:1048576,52)</f>
        <v>3907.2400787456108</v>
      </c>
      <c r="C72" s="15">
        <f>HLOOKUP(C22,'data-sem'!1:1048576,52)</f>
        <v>6043.0981780818711</v>
      </c>
      <c r="D72" s="15">
        <f>HLOOKUP(D22,'data-sem'!1:1048576,52)</f>
        <v>10523.392444661782</v>
      </c>
      <c r="E72" s="15">
        <f>HLOOKUP(E22,'data-sem'!1:1048576,52)</f>
        <v>6119.9607044286367</v>
      </c>
      <c r="F72" s="15">
        <f>HLOOKUP(F22,'data-sem'!1:1048576,52)</f>
        <v>10212.518164083069</v>
      </c>
      <c r="G72" s="15">
        <f>HLOOKUP(G22,'data-sem'!1:1048576,52)</f>
        <v>9293.0735551621165</v>
      </c>
      <c r="H72" s="15">
        <f>HLOOKUP(H22,'data-sem'!1:1048576,52)</f>
        <v>7341.5238574006416</v>
      </c>
      <c r="I72" s="15">
        <f>HLOOKUP(I22,'data-sem'!1:1048576,52)</f>
        <v>8325.6398453106012</v>
      </c>
      <c r="J72" s="15">
        <f>HLOOKUP(J22,'data-sem'!1:1048576,52)</f>
        <v>7368.0076624599133</v>
      </c>
      <c r="K72" s="15">
        <f>HLOOKUP(K22,'data-sem'!1:1048576,52)</f>
        <v>11717.173320494623</v>
      </c>
      <c r="L72" s="15">
        <f>HLOOKUP(L22,'data-sem'!1:1048576,52)</f>
        <v>13615.788826122958</v>
      </c>
      <c r="M72" s="15">
        <f>HLOOKUP(M22,'data-sem'!1:1048576,52)</f>
        <v>5912.8958618228953</v>
      </c>
      <c r="N72" s="15">
        <f>HLOOKUP(N22,'data-sem'!1:1048576,52)</f>
        <v>4822.2775006355778</v>
      </c>
      <c r="O72" s="15">
        <f>HLOOKUP(O22,'data-sem'!1:1048576,52)</f>
        <v>6926.0191143577349</v>
      </c>
      <c r="P72" s="15">
        <f>HLOOKUP(P22,'data-sem'!1:1048576,52)</f>
        <v>5816.2144358635651</v>
      </c>
      <c r="Q72" s="15">
        <f>HLOOKUP(Q22,'data-sem'!1:1048576,52)</f>
        <v>7346.0617822418772</v>
      </c>
      <c r="R72" s="15">
        <f>HLOOKUP(R22,'data-sem'!1:1048576,52)</f>
        <v>6905.4660142219973</v>
      </c>
      <c r="S72" s="15">
        <f>HLOOKUP(S22,'data-sem'!1:1048576,52)</f>
        <v>7136.6560747385047</v>
      </c>
      <c r="T72" s="15">
        <f>HLOOKUP(T22,'data-sem'!1:1048576,52)</f>
        <v>5207.0448266388321</v>
      </c>
      <c r="U72" s="15">
        <f>HLOOKUP(U22,'data-sem'!1:1048576,52)</f>
        <v>6769.3563567609817</v>
      </c>
      <c r="V72" s="15">
        <f>HLOOKUP(V22,'data-sem'!1:1048576,52)</f>
        <v>6026.6060809326755</v>
      </c>
      <c r="W72" s="15">
        <f>HLOOKUP(W22,'data-sem'!1:1048576,52)</f>
        <v>13210.92133935028</v>
      </c>
      <c r="X72" s="15">
        <f>HLOOKUP(X22,'data-sem'!1:1048576,52)</f>
        <v>7449.9059914848667</v>
      </c>
      <c r="Y72" s="15">
        <f>HLOOKUP(Y22,'data-sem'!1:1048576,52)</f>
        <v>3122.2554007487356</v>
      </c>
      <c r="Z72" s="15">
        <f>HLOOKUP(Z22,'data-sem'!1:1048576,52)</f>
        <v>4787.1292997625515</v>
      </c>
    </row>
    <row r="73" spans="1:26" x14ac:dyDescent="0.25">
      <c r="A73" s="14" t="s">
        <v>89</v>
      </c>
      <c r="B73" s="15">
        <f>HLOOKUP(B22,'data-sem'!1:1048576,53)</f>
        <v>231.76732846229692</v>
      </c>
      <c r="C73" s="15">
        <f>HLOOKUP(C22,'data-sem'!1:1048576,53)</f>
        <v>379.39335774687606</v>
      </c>
      <c r="D73" s="15">
        <f>HLOOKUP(D22,'data-sem'!1:1048576,53)</f>
        <v>761.10629078550062</v>
      </c>
      <c r="E73" s="15">
        <f>HLOOKUP(E22,'data-sem'!1:1048576,53)</f>
        <v>244.73247114917265</v>
      </c>
      <c r="F73" s="15">
        <f>HLOOKUP(F22,'data-sem'!1:1048576,53)</f>
        <v>349.40716089702926</v>
      </c>
      <c r="G73" s="15">
        <f>HLOOKUP(G22,'data-sem'!1:1048576,53)</f>
        <v>253.42969128542643</v>
      </c>
      <c r="H73" s="15">
        <f>HLOOKUP(H22,'data-sem'!1:1048576,53)</f>
        <v>189.6293322094962</v>
      </c>
      <c r="I73" s="15">
        <f>HLOOKUP(I22,'data-sem'!1:1048576,53)</f>
        <v>261.28682966883906</v>
      </c>
      <c r="J73" s="15">
        <f>HLOOKUP(J22,'data-sem'!1:1048576,53)</f>
        <v>280.46726789869683</v>
      </c>
      <c r="K73" s="15">
        <f>HLOOKUP(K22,'data-sem'!1:1048576,53)</f>
        <v>705.75817822076147</v>
      </c>
      <c r="L73" s="15">
        <f>HLOOKUP(L22,'data-sem'!1:1048576,53)</f>
        <v>560.76847708041112</v>
      </c>
      <c r="M73" s="15">
        <f>HLOOKUP(M22,'data-sem'!1:1048576,53)</f>
        <v>213.55093447942357</v>
      </c>
      <c r="N73" s="15">
        <f>HLOOKUP(N22,'data-sem'!1:1048576,53)</f>
        <v>203.99982269049593</v>
      </c>
      <c r="O73" s="15">
        <f>HLOOKUP(O22,'data-sem'!1:1048576,53)</f>
        <v>390.74525534202866</v>
      </c>
      <c r="P73" s="15">
        <f>HLOOKUP(P22,'data-sem'!1:1048576,53)</f>
        <v>392.60561832725671</v>
      </c>
      <c r="Q73" s="15">
        <f>HLOOKUP(Q22,'data-sem'!1:1048576,53)</f>
        <v>244.50702690762307</v>
      </c>
      <c r="R73" s="15">
        <f>HLOOKUP(R22,'data-sem'!1:1048576,53)</f>
        <v>235.96279044749727</v>
      </c>
      <c r="S73" s="15">
        <f>HLOOKUP(S22,'data-sem'!1:1048576,53)</f>
        <v>389.09798189461065</v>
      </c>
      <c r="T73" s="15">
        <f>HLOOKUP(T22,'data-sem'!1:1048576,53)</f>
        <v>347.92582409339371</v>
      </c>
      <c r="U73" s="15">
        <f>HLOOKUP(U22,'data-sem'!1:1048576,53)</f>
        <v>343.60168488073197</v>
      </c>
      <c r="V73" s="15">
        <f>HLOOKUP(V22,'data-sem'!1:1048576,53)</f>
        <v>304.59545164719975</v>
      </c>
      <c r="W73" s="15">
        <f>HLOOKUP(W22,'data-sem'!1:1048576,53)</f>
        <v>642.41487018546002</v>
      </c>
      <c r="X73" s="15">
        <f>HLOOKUP(X22,'data-sem'!1:1048576,53)</f>
        <v>185.71565064752079</v>
      </c>
      <c r="Y73" s="15">
        <f>HLOOKUP(Y22,'data-sem'!1:1048576,53)</f>
        <v>103.46962568078821</v>
      </c>
      <c r="Z73" s="15">
        <f>HLOOKUP(Z22,'data-sem'!1:1048576,53)</f>
        <v>168.6517653178467</v>
      </c>
    </row>
    <row r="74" spans="1:26" x14ac:dyDescent="0.25">
      <c r="A74" s="14" t="s">
        <v>90</v>
      </c>
      <c r="B74" s="16">
        <f>HLOOKUP(B22,'data-sem'!1:1048576,54)</f>
        <v>621330.07790679985</v>
      </c>
      <c r="C74" s="16">
        <f>HLOOKUP(C22,'data-sem'!1:1048576,54)</f>
        <v>686287.65088847582</v>
      </c>
      <c r="D74" s="16">
        <f>HLOOKUP(D22,'data-sem'!1:1048576,54)</f>
        <v>1895297.2316603239</v>
      </c>
      <c r="E74" s="16">
        <f>HLOOKUP(E22,'data-sem'!1:1048576,54)</f>
        <v>720432.19338042964</v>
      </c>
      <c r="F74" s="16">
        <f>HLOOKUP(F22,'data-sem'!1:1048576,54)</f>
        <v>829202.23247252021</v>
      </c>
      <c r="G74" s="16">
        <f>HLOOKUP(G22,'data-sem'!1:1048576,54)</f>
        <v>616390.40105049254</v>
      </c>
      <c r="H74" s="16">
        <f>HLOOKUP(H22,'data-sem'!1:1048576,54)</f>
        <v>221121.97556267513</v>
      </c>
      <c r="I74" s="16">
        <f>HLOOKUP(I22,'data-sem'!1:1048576,54)</f>
        <v>407297.56359217101</v>
      </c>
      <c r="J74" s="16">
        <f>HLOOKUP(J22,'data-sem'!1:1048576,54)</f>
        <v>797101.09143695515</v>
      </c>
      <c r="K74" s="16">
        <f>HLOOKUP(K22,'data-sem'!1:1048576,54)</f>
        <v>614179.30784679204</v>
      </c>
      <c r="L74" s="16">
        <f>HLOOKUP(L22,'data-sem'!1:1048576,54)</f>
        <v>712291.6657819656</v>
      </c>
      <c r="M74" s="16">
        <f>HLOOKUP(M22,'data-sem'!1:1048576,54)</f>
        <v>196608.65295489351</v>
      </c>
      <c r="N74" s="16">
        <f>HLOOKUP(N22,'data-sem'!1:1048576,54)</f>
        <v>374214.62641417398</v>
      </c>
      <c r="O74" s="16">
        <f>HLOOKUP(O22,'data-sem'!1:1048576,54)</f>
        <v>665202.09282894619</v>
      </c>
      <c r="P74" s="16">
        <f>HLOOKUP(P22,'data-sem'!1:1048576,54)</f>
        <v>746437.42248758592</v>
      </c>
      <c r="Q74" s="16">
        <f>HLOOKUP(Q22,'data-sem'!1:1048576,54)</f>
        <v>820183.47975584806</v>
      </c>
      <c r="R74" s="16">
        <f>HLOOKUP(R22,'data-sem'!1:1048576,54)</f>
        <v>653185.76112279296</v>
      </c>
      <c r="S74" s="16">
        <f>HLOOKUP(S22,'data-sem'!1:1048576,54)</f>
        <v>549437.05546612095</v>
      </c>
      <c r="T74" s="16">
        <f>HLOOKUP(T22,'data-sem'!1:1048576,54)</f>
        <v>315504.41421442339</v>
      </c>
      <c r="U74" s="16">
        <f>HLOOKUP(U22,'data-sem'!1:1048576,54)</f>
        <v>413064.62379061425</v>
      </c>
      <c r="V74" s="16">
        <f>HLOOKUP(V22,'data-sem'!1:1048576,54)</f>
        <v>682902.79427187843</v>
      </c>
      <c r="W74" s="16">
        <f>HLOOKUP(W22,'data-sem'!1:1048576,54)</f>
        <v>544848.47586235311</v>
      </c>
      <c r="X74" s="16">
        <f>HLOOKUP(X22,'data-sem'!1:1048576,54)</f>
        <v>520242.68165861693</v>
      </c>
      <c r="Y74" s="16">
        <f>HLOOKUP(Y22,'data-sem'!1:1048576,54)</f>
        <v>226583.84756089072</v>
      </c>
      <c r="Z74" s="16">
        <f>HLOOKUP(Z22,'data-sem'!1:1048576,54)</f>
        <v>378611.9818089403</v>
      </c>
    </row>
    <row r="75" spans="1:26" x14ac:dyDescent="0.25">
      <c r="A75" s="14" t="s">
        <v>91</v>
      </c>
      <c r="B75" s="17">
        <f>B73/B72</f>
        <v>5.9317401488342643E-2</v>
      </c>
      <c r="C75" s="17">
        <f t="shared" ref="C75:Z75" si="11">C73/C72</f>
        <v>6.2781266589863452E-2</v>
      </c>
      <c r="D75" s="17">
        <f t="shared" si="11"/>
        <v>7.2325183612399466E-2</v>
      </c>
      <c r="E75" s="17">
        <f t="shared" si="11"/>
        <v>3.9989222638647813E-2</v>
      </c>
      <c r="F75" s="17">
        <f t="shared" si="11"/>
        <v>3.4213614632860809E-2</v>
      </c>
      <c r="G75" s="17">
        <f t="shared" si="11"/>
        <v>2.7270815170149097E-2</v>
      </c>
      <c r="H75" s="17">
        <f t="shared" si="11"/>
        <v>2.5829696380859659E-2</v>
      </c>
      <c r="I75" s="17">
        <f t="shared" si="11"/>
        <v>3.1383393291508799E-2</v>
      </c>
      <c r="J75" s="17">
        <f t="shared" si="11"/>
        <v>3.8065550518857481E-2</v>
      </c>
      <c r="K75" s="17">
        <f t="shared" si="11"/>
        <v>6.023280179583184E-2</v>
      </c>
      <c r="L75" s="17">
        <f t="shared" si="11"/>
        <v>4.1185162625652125E-2</v>
      </c>
      <c r="M75" s="17">
        <f t="shared" si="11"/>
        <v>3.6116133189192962E-2</v>
      </c>
      <c r="N75" s="17">
        <f t="shared" si="11"/>
        <v>4.2303625758494549E-2</v>
      </c>
      <c r="O75" s="17">
        <f t="shared" si="11"/>
        <v>5.6417005048687817E-2</v>
      </c>
      <c r="P75" s="17">
        <f t="shared" si="11"/>
        <v>6.7501916006809742E-2</v>
      </c>
      <c r="Q75" s="17">
        <f t="shared" si="11"/>
        <v>3.3284096180444075E-2</v>
      </c>
      <c r="R75" s="17">
        <f t="shared" si="11"/>
        <v>3.4170436862845377E-2</v>
      </c>
      <c r="S75" s="17">
        <f t="shared" si="11"/>
        <v>5.4521049889442466E-2</v>
      </c>
      <c r="T75" s="17">
        <f t="shared" si="11"/>
        <v>6.6818288621874833E-2</v>
      </c>
      <c r="U75" s="17">
        <f t="shared" si="11"/>
        <v>5.07583981064249E-2</v>
      </c>
      <c r="V75" s="17">
        <f t="shared" si="11"/>
        <v>5.0541788787373448E-2</v>
      </c>
      <c r="W75" s="17">
        <f t="shared" si="11"/>
        <v>4.8627560007639431E-2</v>
      </c>
      <c r="X75" s="17">
        <f t="shared" si="11"/>
        <v>2.4928589818420669E-2</v>
      </c>
      <c r="Y75" s="17">
        <f t="shared" si="11"/>
        <v>3.3139385604385715E-2</v>
      </c>
      <c r="Z75" s="17">
        <f t="shared" si="11"/>
        <v>3.5230250690369294E-2</v>
      </c>
    </row>
    <row r="76" spans="1:26" x14ac:dyDescent="0.25">
      <c r="A76" s="14" t="s">
        <v>92</v>
      </c>
      <c r="B76" s="15">
        <f>HLOOKUP(B22,'data-sem'!1:1048576,56)</f>
        <v>5627.5609732966568</v>
      </c>
      <c r="C76" s="15">
        <f>HLOOKUP(C22,'data-sem'!1:1048576,56)</f>
        <v>7921.207652221332</v>
      </c>
      <c r="D76" s="15">
        <f>HLOOKUP(D22,'data-sem'!1:1048576,56)</f>
        <v>8257.3111253815296</v>
      </c>
      <c r="E76" s="15">
        <f>HLOOKUP(E22,'data-sem'!1:1048576,56)</f>
        <v>3675.3153232534492</v>
      </c>
      <c r="F76" s="15">
        <f>HLOOKUP(F22,'data-sem'!1:1048576,56)</f>
        <v>4828.8900644803098</v>
      </c>
      <c r="G76" s="15">
        <f>HLOOKUP(G22,'data-sem'!1:1048576,56)</f>
        <v>7363.0897561724005</v>
      </c>
      <c r="H76" s="15">
        <f>HLOOKUP(H22,'data-sem'!1:1048576,56)</f>
        <v>6314.8316926129701</v>
      </c>
      <c r="I76" s="15">
        <f>HLOOKUP(I22,'data-sem'!1:1048576,56)</f>
        <v>5829.645593505953</v>
      </c>
      <c r="J76" s="15">
        <f>HLOOKUP(J22,'data-sem'!1:1048576,56)</f>
        <v>10487.893427873965</v>
      </c>
      <c r="K76" s="15">
        <f>HLOOKUP(K22,'data-sem'!1:1048576,56)</f>
        <v>11866.135032344366</v>
      </c>
      <c r="L76" s="15">
        <f>HLOOKUP(L22,'data-sem'!1:1048576,56)</f>
        <v>8844.351772301543</v>
      </c>
      <c r="M76" s="15">
        <f>HLOOKUP(M22,'data-sem'!1:1048576,56)</f>
        <v>6349.0729908637286</v>
      </c>
      <c r="N76" s="15">
        <f>HLOOKUP(N22,'data-sem'!1:1048576,56)</f>
        <v>6731.960880634093</v>
      </c>
      <c r="O76" s="15">
        <f>HLOOKUP(O22,'data-sem'!1:1048576,56)</f>
        <v>6341.1464716601822</v>
      </c>
      <c r="P76" s="15">
        <f>HLOOKUP(P22,'data-sem'!1:1048576,56)</f>
        <v>7167.7221525901641</v>
      </c>
      <c r="Q76" s="15">
        <f>HLOOKUP(Q22,'data-sem'!1:1048576,56)</f>
        <v>7988.1784763307114</v>
      </c>
      <c r="R76" s="15">
        <f>HLOOKUP(R22,'data-sem'!1:1048576,56)</f>
        <v>7944.4497281426757</v>
      </c>
      <c r="S76" s="15">
        <f>HLOOKUP(S22,'data-sem'!1:1048576,56)</f>
        <v>7720.3216859617496</v>
      </c>
      <c r="T76" s="15">
        <f>HLOOKUP(T22,'data-sem'!1:1048576,56)</f>
        <v>15264.891966224306</v>
      </c>
      <c r="U76" s="15">
        <f>HLOOKUP(U22,'data-sem'!1:1048576,56)</f>
        <v>14624.463397228836</v>
      </c>
      <c r="V76" s="15">
        <f>HLOOKUP(V22,'data-sem'!1:1048576,56)</f>
        <v>14503.17159895011</v>
      </c>
      <c r="W76" s="15">
        <f>HLOOKUP(W22,'data-sem'!1:1048576,56)</f>
        <v>13638.344859644159</v>
      </c>
      <c r="X76" s="15">
        <f>HLOOKUP(X22,'data-sem'!1:1048576,56)</f>
        <v>10727.340231159802</v>
      </c>
      <c r="Y76" s="15">
        <f>HLOOKUP(Y22,'data-sem'!1:1048576,56)</f>
        <v>11601.196566614362</v>
      </c>
      <c r="Z76" s="15">
        <f>HLOOKUP(Z22,'data-sem'!1:1048576,56)</f>
        <v>12550.575034252182</v>
      </c>
    </row>
    <row r="77" spans="1:26" x14ac:dyDescent="0.25">
      <c r="A77" s="14" t="s">
        <v>93</v>
      </c>
      <c r="B77" s="15">
        <f>HLOOKUP(B22,'data-sem'!1:1048576,57)</f>
        <v>127.79455492144032</v>
      </c>
      <c r="C77" s="15">
        <f>HLOOKUP(C22,'data-sem'!1:1048576,57)</f>
        <v>187.71603919024693</v>
      </c>
      <c r="D77" s="15">
        <f>HLOOKUP(D22,'data-sem'!1:1048576,57)</f>
        <v>382.09810325153506</v>
      </c>
      <c r="E77" s="15">
        <f>HLOOKUP(E22,'data-sem'!1:1048576,57)</f>
        <v>162.40502037158026</v>
      </c>
      <c r="F77" s="15">
        <f>HLOOKUP(F22,'data-sem'!1:1048576,57)</f>
        <v>177.44158374039583</v>
      </c>
      <c r="G77" s="15">
        <f>HLOOKUP(G22,'data-sem'!1:1048576,57)</f>
        <v>139.89580833962759</v>
      </c>
      <c r="H77" s="15">
        <f>HLOOKUP(H22,'data-sem'!1:1048576,57)</f>
        <v>231.60780695964144</v>
      </c>
      <c r="I77" s="15">
        <f>HLOOKUP(I22,'data-sem'!1:1048576,57)</f>
        <v>222.48264802620062</v>
      </c>
      <c r="J77" s="15">
        <f>HLOOKUP(J22,'data-sem'!1:1048576,57)</f>
        <v>335.25863492724602</v>
      </c>
      <c r="K77" s="15">
        <f>HLOOKUP(K22,'data-sem'!1:1048576,57)</f>
        <v>530.99903423801038</v>
      </c>
      <c r="L77" s="15">
        <f>HLOOKUP(L22,'data-sem'!1:1048576,57)</f>
        <v>230.92167364894229</v>
      </c>
      <c r="M77" s="15">
        <f>HLOOKUP(M22,'data-sem'!1:1048576,57)</f>
        <v>254.84128903140302</v>
      </c>
      <c r="N77" s="15">
        <f>HLOOKUP(N22,'data-sem'!1:1048576,57)</f>
        <v>163.3686663136306</v>
      </c>
      <c r="O77" s="15">
        <f>HLOOKUP(O22,'data-sem'!1:1048576,57)</f>
        <v>253.13760580290642</v>
      </c>
      <c r="P77" s="15">
        <f>HLOOKUP(P22,'data-sem'!1:1048576,57)</f>
        <v>242.05698091740263</v>
      </c>
      <c r="Q77" s="15">
        <f>HLOOKUP(Q22,'data-sem'!1:1048576,57)</f>
        <v>317.96150100085987</v>
      </c>
      <c r="R77" s="15">
        <f>HLOOKUP(R22,'data-sem'!1:1048576,57)</f>
        <v>257.45011929321805</v>
      </c>
      <c r="S77" s="15">
        <f>HLOOKUP(S22,'data-sem'!1:1048576,57)</f>
        <v>212.24854036297606</v>
      </c>
      <c r="T77" s="15">
        <f>HLOOKUP(T22,'data-sem'!1:1048576,57)</f>
        <v>347.59454957740371</v>
      </c>
      <c r="U77" s="15">
        <f>HLOOKUP(U22,'data-sem'!1:1048576,57)</f>
        <v>406.50918032583797</v>
      </c>
      <c r="V77" s="15">
        <f>HLOOKUP(V22,'data-sem'!1:1048576,57)</f>
        <v>275.34781654496487</v>
      </c>
      <c r="W77" s="15">
        <f>HLOOKUP(W22,'data-sem'!1:1048576,57)</f>
        <v>479.36621083426121</v>
      </c>
      <c r="X77" s="15">
        <f>HLOOKUP(X22,'data-sem'!1:1048576,57)</f>
        <v>406.75695981753807</v>
      </c>
      <c r="Y77" s="15">
        <f>HLOOKUP(Y22,'data-sem'!1:1048576,57)</f>
        <v>293.75899075604048</v>
      </c>
      <c r="Z77" s="15">
        <f>HLOOKUP(Z22,'data-sem'!1:1048576,57)</f>
        <v>211.11253790090134</v>
      </c>
    </row>
    <row r="78" spans="1:26" x14ac:dyDescent="0.25">
      <c r="A78" s="14" t="s">
        <v>94</v>
      </c>
      <c r="B78" s="16">
        <f>HLOOKUP(B22,'data-sem'!1:1048576,58)</f>
        <v>134558.79699381077</v>
      </c>
      <c r="C78" s="16">
        <f>HLOOKUP(C22,'data-sem'!1:1048576,58)</f>
        <v>359016.81085995521</v>
      </c>
      <c r="D78" s="16">
        <f>HLOOKUP(D22,'data-sem'!1:1048576,58)</f>
        <v>457862.38922047522</v>
      </c>
      <c r="E78" s="16">
        <f>HLOOKUP(E22,'data-sem'!1:1048576,58)</f>
        <v>329543.39415198198</v>
      </c>
      <c r="F78" s="16">
        <f>HLOOKUP(F22,'data-sem'!1:1048576,58)</f>
        <v>350606.71894280741</v>
      </c>
      <c r="G78" s="16">
        <f>HLOOKUP(G22,'data-sem'!1:1048576,58)</f>
        <v>222064.48928846529</v>
      </c>
      <c r="H78" s="16">
        <f>HLOOKUP(H22,'data-sem'!1:1048576,58)</f>
        <v>297535.71497109911</v>
      </c>
      <c r="I78" s="16">
        <f>HLOOKUP(I22,'data-sem'!1:1048576,58)</f>
        <v>402503.55636583344</v>
      </c>
      <c r="J78" s="16">
        <f>HLOOKUP(J22,'data-sem'!1:1048576,58)</f>
        <v>347417.38914659881</v>
      </c>
      <c r="K78" s="16">
        <f>HLOOKUP(K22,'data-sem'!1:1048576,58)</f>
        <v>615819.16448696272</v>
      </c>
      <c r="L78" s="16">
        <f>HLOOKUP(L22,'data-sem'!1:1048576,58)</f>
        <v>357754.75969624473</v>
      </c>
      <c r="M78" s="16">
        <f>HLOOKUP(M22,'data-sem'!1:1048576,58)</f>
        <v>227514.62437959085</v>
      </c>
      <c r="N78" s="16">
        <f>HLOOKUP(N22,'data-sem'!1:1048576,58)</f>
        <v>304665.28764967294</v>
      </c>
      <c r="O78" s="16">
        <f>HLOOKUP(O22,'data-sem'!1:1048576,58)</f>
        <v>496963.62873866345</v>
      </c>
      <c r="P78" s="16">
        <f>HLOOKUP(P22,'data-sem'!1:1048576,58)</f>
        <v>538613.85612843046</v>
      </c>
      <c r="Q78" s="16">
        <f>HLOOKUP(Q22,'data-sem'!1:1048576,58)</f>
        <v>560643.01513041381</v>
      </c>
      <c r="R78" s="16">
        <f>HLOOKUP(R22,'data-sem'!1:1048576,58)</f>
        <v>587016.68106953183</v>
      </c>
      <c r="S78" s="16">
        <f>HLOOKUP(S22,'data-sem'!1:1048576,58)</f>
        <v>450682.18164387561</v>
      </c>
      <c r="T78" s="16">
        <f>HLOOKUP(T22,'data-sem'!1:1048576,58)</f>
        <v>410395.80568672228</v>
      </c>
      <c r="U78" s="16">
        <f>HLOOKUP(U22,'data-sem'!1:1048576,58)</f>
        <v>507384.49429657543</v>
      </c>
      <c r="V78" s="16">
        <f>HLOOKUP(V22,'data-sem'!1:1048576,58)</f>
        <v>396359.62661954848</v>
      </c>
      <c r="W78" s="16">
        <f>HLOOKUP(W22,'data-sem'!1:1048576,58)</f>
        <v>437141.52849836077</v>
      </c>
      <c r="X78" s="16">
        <f>HLOOKUP(X22,'data-sem'!1:1048576,58)</f>
        <v>431761.27779974358</v>
      </c>
      <c r="Y78" s="16">
        <f>HLOOKUP(Y22,'data-sem'!1:1048576,58)</f>
        <v>537312.26792503858</v>
      </c>
      <c r="Z78" s="16">
        <f>HLOOKUP(Z22,'data-sem'!1:1048576,58)</f>
        <v>444515.75140449969</v>
      </c>
    </row>
    <row r="79" spans="1:26" x14ac:dyDescent="0.25">
      <c r="A79" s="14" t="s">
        <v>95</v>
      </c>
      <c r="B79" s="17">
        <f>B77/B76</f>
        <v>2.2708693078198238E-2</v>
      </c>
      <c r="C79" s="17">
        <f t="shared" ref="C79:Z79" si="12">C77/C76</f>
        <v>2.3697906611197854E-2</v>
      </c>
      <c r="D79" s="17">
        <f t="shared" si="12"/>
        <v>4.6273913801919413E-2</v>
      </c>
      <c r="E79" s="17">
        <f t="shared" si="12"/>
        <v>4.4188050843979476E-2</v>
      </c>
      <c r="F79" s="17">
        <f t="shared" si="12"/>
        <v>3.6745832141757875E-2</v>
      </c>
      <c r="G79" s="17">
        <f t="shared" si="12"/>
        <v>1.8999606547285997E-2</v>
      </c>
      <c r="H79" s="17">
        <f t="shared" si="12"/>
        <v>3.6676798089579181E-2</v>
      </c>
      <c r="I79" s="17">
        <f t="shared" si="12"/>
        <v>3.8164009193635974E-2</v>
      </c>
      <c r="J79" s="17">
        <f t="shared" si="12"/>
        <v>3.1966251109705197E-2</v>
      </c>
      <c r="K79" s="17">
        <f t="shared" si="12"/>
        <v>4.4749114415993808E-2</v>
      </c>
      <c r="L79" s="17">
        <f t="shared" si="12"/>
        <v>2.6109508033379605E-2</v>
      </c>
      <c r="M79" s="17">
        <f t="shared" si="12"/>
        <v>4.0138346085817227E-2</v>
      </c>
      <c r="N79" s="17">
        <f t="shared" si="12"/>
        <v>2.4267619674320312E-2</v>
      </c>
      <c r="O79" s="17">
        <f t="shared" si="12"/>
        <v>3.9919848395590235E-2</v>
      </c>
      <c r="P79" s="17">
        <f t="shared" si="12"/>
        <v>3.3770419076572564E-2</v>
      </c>
      <c r="Q79" s="17">
        <f t="shared" si="12"/>
        <v>3.9804005624435201E-2</v>
      </c>
      <c r="R79" s="17">
        <f t="shared" si="12"/>
        <v>3.240628716942074E-2</v>
      </c>
      <c r="S79" s="17">
        <f t="shared" si="12"/>
        <v>2.7492188667334716E-2</v>
      </c>
      <c r="T79" s="17">
        <f t="shared" si="12"/>
        <v>2.2770848974660609E-2</v>
      </c>
      <c r="U79" s="17">
        <f t="shared" si="12"/>
        <v>2.7796519385652585E-2</v>
      </c>
      <c r="V79" s="17">
        <f t="shared" si="12"/>
        <v>1.8985351905020376E-2</v>
      </c>
      <c r="W79" s="17">
        <f t="shared" si="12"/>
        <v>3.5148415424858852E-2</v>
      </c>
      <c r="X79" s="17">
        <f t="shared" si="12"/>
        <v>3.7917783071336496E-2</v>
      </c>
      <c r="Y79" s="17">
        <f t="shared" si="12"/>
        <v>2.5321438962719833E-2</v>
      </c>
      <c r="Z79" s="17">
        <f t="shared" si="12"/>
        <v>1.6820945440726601E-2</v>
      </c>
    </row>
    <row r="80" spans="1:26" x14ac:dyDescent="0.25">
      <c r="A80" s="14" t="s">
        <v>96</v>
      </c>
      <c r="B80" s="15">
        <f>HLOOKUP(B22,'data-sem'!1:1048576,60)</f>
        <v>1859.8367162846828</v>
      </c>
      <c r="C80" s="15">
        <f>HLOOKUP(C22,'data-sem'!1:1048576,60)</f>
        <v>1950.4894997378078</v>
      </c>
      <c r="D80" s="15">
        <f>HLOOKUP(D22,'data-sem'!1:1048576,60)</f>
        <v>1372.4416641851121</v>
      </c>
      <c r="E80" s="15">
        <f>HLOOKUP(E22,'data-sem'!1:1048576,60)</f>
        <v>1766.9667256817704</v>
      </c>
      <c r="F80" s="15">
        <f>HLOOKUP(F22,'data-sem'!1:1048576,60)</f>
        <v>2259.6302520013892</v>
      </c>
      <c r="G80" s="15">
        <f>HLOOKUP(G22,'data-sem'!1:1048576,60)</f>
        <v>2387.4887798087912</v>
      </c>
      <c r="H80" s="15">
        <f>HLOOKUP(H22,'data-sem'!1:1048576,60)</f>
        <v>2049.2602823089937</v>
      </c>
      <c r="I80" s="15">
        <f>HLOOKUP(I22,'data-sem'!1:1048576,60)</f>
        <v>2791.4460447302067</v>
      </c>
      <c r="J80" s="15">
        <f>HLOOKUP(J22,'data-sem'!1:1048576,60)</f>
        <v>4211.254499724042</v>
      </c>
      <c r="K80" s="15">
        <f>HLOOKUP(K22,'data-sem'!1:1048576,60)</f>
        <v>2272.6276424482335</v>
      </c>
      <c r="L80" s="15">
        <f>HLOOKUP(L22,'data-sem'!1:1048576,60)</f>
        <v>3359.240260551775</v>
      </c>
      <c r="M80" s="15">
        <f>HLOOKUP(M22,'data-sem'!1:1048576,60)</f>
        <v>2474.6304297081724</v>
      </c>
      <c r="N80" s="15">
        <f>HLOOKUP(N22,'data-sem'!1:1048576,60)</f>
        <v>2112.802179334677</v>
      </c>
      <c r="O80" s="15">
        <f>HLOOKUP(O22,'data-sem'!1:1048576,60)</f>
        <v>1747.4187655188648</v>
      </c>
      <c r="P80" s="15">
        <f>HLOOKUP(P22,'data-sem'!1:1048576,60)</f>
        <v>2576.5747066278041</v>
      </c>
      <c r="Q80" s="15">
        <f>HLOOKUP(Q22,'data-sem'!1:1048576,60)</f>
        <v>3218.6291573533053</v>
      </c>
      <c r="R80" s="15">
        <f>HLOOKUP(R22,'data-sem'!1:1048576,60)</f>
        <v>1883.7561551300328</v>
      </c>
      <c r="S80" s="15">
        <f>HLOOKUP(S22,'data-sem'!1:1048576,60)</f>
        <v>3115.3649726195586</v>
      </c>
      <c r="T80" s="15">
        <f>HLOOKUP(T22,'data-sem'!1:1048576,60)</f>
        <v>2555.4011925018144</v>
      </c>
      <c r="U80" s="15">
        <f>HLOOKUP(U22,'data-sem'!1:1048576,60)</f>
        <v>3466.21970367928</v>
      </c>
      <c r="V80" s="15">
        <f>HLOOKUP(V22,'data-sem'!1:1048576,60)</f>
        <v>2929.7293391473122</v>
      </c>
      <c r="W80" s="15">
        <f>HLOOKUP(W22,'data-sem'!1:1048576,60)</f>
        <v>2534.1034898261805</v>
      </c>
      <c r="X80" s="15">
        <f>HLOOKUP(X22,'data-sem'!1:1048576,60)</f>
        <v>2487.9693552651297</v>
      </c>
      <c r="Y80" s="15">
        <f>HLOOKUP(Y22,'data-sem'!1:1048576,60)</f>
        <v>3301.291316704885</v>
      </c>
      <c r="Z80" s="15">
        <f>HLOOKUP(Z22,'data-sem'!1:1048576,60)</f>
        <v>2385.4879761436382</v>
      </c>
    </row>
    <row r="81" spans="1:26" x14ac:dyDescent="0.25">
      <c r="A81" s="14" t="s">
        <v>97</v>
      </c>
      <c r="B81" s="15">
        <f>HLOOKUP(B22,'data-sem'!1:1048576,61)</f>
        <v>41.266273305045658</v>
      </c>
      <c r="C81" s="15">
        <f>HLOOKUP(C22,'data-sem'!1:1048576,61)</f>
        <v>34.219654274647311</v>
      </c>
      <c r="D81" s="15">
        <f>HLOOKUP(D22,'data-sem'!1:1048576,61)</f>
        <v>21.310938355117344</v>
      </c>
      <c r="E81" s="15">
        <f>HLOOKUP(E22,'data-sem'!1:1048576,61)</f>
        <v>31.19396486375993</v>
      </c>
      <c r="F81" s="15">
        <f>HLOOKUP(F22,'data-sem'!1:1048576,61)</f>
        <v>24.346475588692275</v>
      </c>
      <c r="G81" s="15">
        <f>HLOOKUP(G22,'data-sem'!1:1048576,61)</f>
        <v>37.584902216490271</v>
      </c>
      <c r="H81" s="15">
        <f>HLOOKUP(H22,'data-sem'!1:1048576,61)</f>
        <v>29.959761153972924</v>
      </c>
      <c r="I81" s="15">
        <f>HLOOKUP(I22,'data-sem'!1:1048576,61)</f>
        <v>41.803114839829625</v>
      </c>
      <c r="J81" s="15">
        <f>HLOOKUP(J22,'data-sem'!1:1048576,61)</f>
        <v>50.522412134534299</v>
      </c>
      <c r="K81" s="15">
        <f>HLOOKUP(K22,'data-sem'!1:1048576,61)</f>
        <v>63.09783609522534</v>
      </c>
      <c r="L81" s="15">
        <f>HLOOKUP(L22,'data-sem'!1:1048576,61)</f>
        <v>48.088721285036513</v>
      </c>
      <c r="M81" s="15">
        <f>HLOOKUP(M22,'data-sem'!1:1048576,61)</f>
        <v>37.482870068719109</v>
      </c>
      <c r="N81" s="15">
        <f>HLOOKUP(N22,'data-sem'!1:1048576,61)</f>
        <v>33.143758222531126</v>
      </c>
      <c r="O81" s="15">
        <f>HLOOKUP(O22,'data-sem'!1:1048576,61)</f>
        <v>31.209167191224971</v>
      </c>
      <c r="P81" s="15">
        <f>HLOOKUP(P22,'data-sem'!1:1048576,61)</f>
        <v>42.219998143577257</v>
      </c>
      <c r="Q81" s="15">
        <f>HLOOKUP(Q22,'data-sem'!1:1048576,61)</f>
        <v>32.179335034542191</v>
      </c>
      <c r="R81" s="15">
        <f>HLOOKUP(R22,'data-sem'!1:1048576,61)</f>
        <v>56.13689035467241</v>
      </c>
      <c r="S81" s="15">
        <f>HLOOKUP(S22,'data-sem'!1:1048576,61)</f>
        <v>32.166954213801972</v>
      </c>
      <c r="T81" s="15">
        <f>HLOOKUP(T22,'data-sem'!1:1048576,61)</f>
        <v>31.827529008200116</v>
      </c>
      <c r="U81" s="15">
        <f>HLOOKUP(U22,'data-sem'!1:1048576,61)</f>
        <v>66.511958136205806</v>
      </c>
      <c r="V81" s="15">
        <f>HLOOKUP(V22,'data-sem'!1:1048576,61)</f>
        <v>48.940333246354037</v>
      </c>
      <c r="W81" s="15">
        <f>HLOOKUP(W22,'data-sem'!1:1048576,61)</f>
        <v>44.672764780938166</v>
      </c>
      <c r="X81" s="15">
        <f>HLOOKUP(X22,'data-sem'!1:1048576,61)</f>
        <v>67.965752628608001</v>
      </c>
      <c r="Y81" s="15">
        <f>HLOOKUP(Y22,'data-sem'!1:1048576,61)</f>
        <v>60.171667181373621</v>
      </c>
      <c r="Z81" s="15">
        <f>HLOOKUP(Z22,'data-sem'!1:1048576,61)</f>
        <v>52.668106877018715</v>
      </c>
    </row>
    <row r="82" spans="1:26" x14ac:dyDescent="0.25">
      <c r="A82" s="14" t="s">
        <v>98</v>
      </c>
      <c r="B82" s="16">
        <f>HLOOKUP(B22,'data-sem'!1:1048576,62)</f>
        <v>35891.590446824041</v>
      </c>
      <c r="C82" s="16">
        <f>HLOOKUP(C22,'data-sem'!1:1048576,62)</f>
        <v>54726.659446592421</v>
      </c>
      <c r="D82" s="16">
        <f>HLOOKUP(D22,'data-sem'!1:1048576,62)</f>
        <v>21125.67068531672</v>
      </c>
      <c r="E82" s="16">
        <f>HLOOKUP(E22,'data-sem'!1:1048576,62)</f>
        <v>39611.596313990813</v>
      </c>
      <c r="F82" s="16">
        <f>HLOOKUP(F22,'data-sem'!1:1048576,62)</f>
        <v>26516.673983668934</v>
      </c>
      <c r="G82" s="16">
        <f>HLOOKUP(G22,'data-sem'!1:1048576,62)</f>
        <v>27227.520171561766</v>
      </c>
      <c r="H82" s="16">
        <f>HLOOKUP(H22,'data-sem'!1:1048576,62)</f>
        <v>39342.261151241823</v>
      </c>
      <c r="I82" s="16">
        <f>HLOOKUP(I22,'data-sem'!1:1048576,62)</f>
        <v>59219.398213215172</v>
      </c>
      <c r="J82" s="16">
        <f>HLOOKUP(J22,'data-sem'!1:1048576,62)</f>
        <v>47904.342816061224</v>
      </c>
      <c r="K82" s="16">
        <f>HLOOKUP(K22,'data-sem'!1:1048576,62)</f>
        <v>98797.192640842943</v>
      </c>
      <c r="L82" s="16">
        <f>HLOOKUP(L22,'data-sem'!1:1048576,62)</f>
        <v>44653.446212739291</v>
      </c>
      <c r="M82" s="16">
        <f>HLOOKUP(M22,'data-sem'!1:1048576,62)</f>
        <v>137361.3842466372</v>
      </c>
      <c r="N82" s="16">
        <f>HLOOKUP(N22,'data-sem'!1:1048576,62)</f>
        <v>24632.858436211358</v>
      </c>
      <c r="O82" s="16">
        <f>HLOOKUP(O22,'data-sem'!1:1048576,62)</f>
        <v>39071.023887336021</v>
      </c>
      <c r="P82" s="16">
        <f>HLOOKUP(P22,'data-sem'!1:1048576,62)</f>
        <v>76141.180076596385</v>
      </c>
      <c r="Q82" s="16">
        <f>HLOOKUP(Q22,'data-sem'!1:1048576,62)</f>
        <v>39608.599738929493</v>
      </c>
      <c r="R82" s="16">
        <f>HLOOKUP(R22,'data-sem'!1:1048576,62)</f>
        <v>58686.257900741271</v>
      </c>
      <c r="S82" s="16">
        <f>HLOOKUP(S22,'data-sem'!1:1048576,62)</f>
        <v>31499.620686587841</v>
      </c>
      <c r="T82" s="16">
        <f>HLOOKUP(T22,'data-sem'!1:1048576,62)</f>
        <v>58140.782530607314</v>
      </c>
      <c r="U82" s="16">
        <f>HLOOKUP(U22,'data-sem'!1:1048576,62)</f>
        <v>82600.001130297329</v>
      </c>
      <c r="V82" s="16">
        <f>HLOOKUP(V22,'data-sem'!1:1048576,62)</f>
        <v>57722.259433972096</v>
      </c>
      <c r="W82" s="16">
        <f>HLOOKUP(W22,'data-sem'!1:1048576,62)</f>
        <v>71748.723582173465</v>
      </c>
      <c r="X82" s="16">
        <f>HLOOKUP(X22,'data-sem'!1:1048576,62)</f>
        <v>63639.070269675387</v>
      </c>
      <c r="Y82" s="16">
        <f>HLOOKUP(Y22,'data-sem'!1:1048576,62)</f>
        <v>101676.43506603446</v>
      </c>
      <c r="Z82" s="16">
        <f>HLOOKUP(Z22,'data-sem'!1:1048576,62)</f>
        <v>59722.867776248415</v>
      </c>
    </row>
    <row r="83" spans="1:26" x14ac:dyDescent="0.25">
      <c r="A83" s="14" t="s">
        <v>99</v>
      </c>
      <c r="B83" s="17">
        <f>B81/B80</f>
        <v>2.2188116270487199E-2</v>
      </c>
      <c r="C83" s="17">
        <f t="shared" ref="C83:Z83" si="13">C81/C80</f>
        <v>1.7544136627880975E-2</v>
      </c>
      <c r="D83" s="17">
        <f t="shared" si="13"/>
        <v>1.5527755321950769E-2</v>
      </c>
      <c r="E83" s="17">
        <f t="shared" si="13"/>
        <v>1.7653962811169509E-2</v>
      </c>
      <c r="F83" s="17">
        <f t="shared" si="13"/>
        <v>1.0774539581034652E-2</v>
      </c>
      <c r="G83" s="17">
        <f t="shared" si="13"/>
        <v>1.5742441403012737E-2</v>
      </c>
      <c r="H83" s="17">
        <f t="shared" si="13"/>
        <v>1.4619793011464563E-2</v>
      </c>
      <c r="I83" s="17">
        <f t="shared" si="13"/>
        <v>1.497543358172624E-2</v>
      </c>
      <c r="J83" s="17">
        <f t="shared" si="13"/>
        <v>1.1996998076902018E-2</v>
      </c>
      <c r="K83" s="17">
        <f t="shared" si="13"/>
        <v>2.776426499294532E-2</v>
      </c>
      <c r="L83" s="17">
        <f t="shared" si="13"/>
        <v>1.431535631724587E-2</v>
      </c>
      <c r="M83" s="17">
        <f t="shared" si="13"/>
        <v>1.5146855715800512E-2</v>
      </c>
      <c r="N83" s="17">
        <f t="shared" si="13"/>
        <v>1.5687109066201417E-2</v>
      </c>
      <c r="O83" s="17">
        <f t="shared" si="13"/>
        <v>1.7860153391427019E-2</v>
      </c>
      <c r="P83" s="17">
        <f t="shared" si="13"/>
        <v>1.6386095087782018E-2</v>
      </c>
      <c r="Q83" s="17">
        <f t="shared" si="13"/>
        <v>9.9978386640241015E-3</v>
      </c>
      <c r="R83" s="17">
        <f t="shared" si="13"/>
        <v>2.9800507991331483E-2</v>
      </c>
      <c r="S83" s="17">
        <f t="shared" si="13"/>
        <v>1.0325260281383452E-2</v>
      </c>
      <c r="T83" s="17">
        <f t="shared" si="13"/>
        <v>1.2455002800182625E-2</v>
      </c>
      <c r="U83" s="17">
        <f t="shared" si="13"/>
        <v>1.918861578958931E-2</v>
      </c>
      <c r="V83" s="17">
        <f t="shared" si="13"/>
        <v>1.6704728519596951E-2</v>
      </c>
      <c r="W83" s="17">
        <f t="shared" si="13"/>
        <v>1.7628626834021829E-2</v>
      </c>
      <c r="X83" s="17">
        <f t="shared" si="13"/>
        <v>2.731776116324602E-2</v>
      </c>
      <c r="Y83" s="17">
        <f t="shared" si="13"/>
        <v>1.822670628214438E-2</v>
      </c>
      <c r="Z83" s="17">
        <f t="shared" si="13"/>
        <v>2.2078546361890106E-2</v>
      </c>
    </row>
    <row r="84" spans="1:26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x14ac:dyDescent="0.25">
      <c r="A85" s="14" t="s">
        <v>100</v>
      </c>
      <c r="B85" s="15">
        <f>HLOOKUP(B22,'data-sem'!1:1048576,65)</f>
        <v>18793.84640259976</v>
      </c>
      <c r="C85" s="15">
        <f>HLOOKUP(C22,'data-sem'!1:1048576,65)</f>
        <v>22787.702388508671</v>
      </c>
      <c r="D85" s="15">
        <f>HLOOKUP(D22,'data-sem'!1:1048576,65)</f>
        <v>36834.952083391552</v>
      </c>
      <c r="E85" s="15">
        <f>HLOOKUP(E22,'data-sem'!1:1048576,65)</f>
        <v>26073.192034503838</v>
      </c>
      <c r="F85" s="15">
        <f>HLOOKUP(F22,'data-sem'!1:1048576,65)</f>
        <v>8136.3129005756173</v>
      </c>
      <c r="G85" s="15">
        <f>HLOOKUP(G22,'data-sem'!1:1048576,65)</f>
        <v>23525.112917673232</v>
      </c>
      <c r="H85" s="15">
        <f>HLOOKUP(H22,'data-sem'!1:1048576,65)</f>
        <v>5301.5204558602672</v>
      </c>
      <c r="I85" s="15">
        <f>HLOOKUP(I22,'data-sem'!1:1048576,65)</f>
        <v>15032.704874484027</v>
      </c>
      <c r="J85" s="15">
        <f>HLOOKUP(J22,'data-sem'!1:1048576,65)</f>
        <v>28521.089034146233</v>
      </c>
      <c r="K85" s="15">
        <f>HLOOKUP(K22,'data-sem'!1:1048576,65)</f>
        <v>30069.363528783462</v>
      </c>
      <c r="L85" s="15">
        <f>HLOOKUP(L22,'data-sem'!1:1048576,65)</f>
        <v>41000.570072374889</v>
      </c>
      <c r="M85" s="15">
        <f>HLOOKUP(M22,'data-sem'!1:1048576,65)</f>
        <v>9235.1564651480548</v>
      </c>
      <c r="N85" s="15">
        <f>HLOOKUP(N22,'data-sem'!1:1048576,65)</f>
        <v>8445.8792165399827</v>
      </c>
      <c r="O85" s="15">
        <f>HLOOKUP(O22,'data-sem'!1:1048576,65)</f>
        <v>7074.5301366691647</v>
      </c>
      <c r="P85" s="15">
        <f>HLOOKUP(P22,'data-sem'!1:1048576,65)</f>
        <v>19762.312955148052</v>
      </c>
      <c r="Q85" s="15">
        <f>HLOOKUP(Q22,'data-sem'!1:1048576,65)</f>
        <v>33484.187769470234</v>
      </c>
      <c r="R85" s="15">
        <f>HLOOKUP(R22,'data-sem'!1:1048576,65)</f>
        <v>12924.713617459111</v>
      </c>
      <c r="S85" s="15">
        <f>HLOOKUP(S22,'data-sem'!1:1048576,65)</f>
        <v>11361.202161355293</v>
      </c>
      <c r="T85" s="15">
        <f>HLOOKUP(T22,'data-sem'!1:1048576,65)</f>
        <v>4385.4945732518945</v>
      </c>
      <c r="U85" s="15">
        <f>HLOOKUP(U22,'data-sem'!1:1048576,65)</f>
        <v>10645.168677871547</v>
      </c>
      <c r="V85" s="15">
        <f>HLOOKUP(V22,'data-sem'!1:1048576,65)</f>
        <v>22139.884437094017</v>
      </c>
      <c r="W85" s="15">
        <f>HLOOKUP(W22,'data-sem'!1:1048576,65)</f>
        <v>17940.773447547534</v>
      </c>
      <c r="X85" s="15">
        <f>HLOOKUP(X22,'data-sem'!1:1048576,65)</f>
        <v>31600.73266978659</v>
      </c>
      <c r="Y85" s="15">
        <f>HLOOKUP(Y22,'data-sem'!1:1048576,65)</f>
        <v>7216.2251499658405</v>
      </c>
      <c r="Z85" s="15">
        <f>HLOOKUP(Z22,'data-sem'!1:1048576,65)</f>
        <v>12327.664006963312</v>
      </c>
    </row>
    <row r="86" spans="1:26" x14ac:dyDescent="0.25">
      <c r="A86" s="14" t="s">
        <v>101</v>
      </c>
      <c r="B86" s="15">
        <f>HLOOKUP(B22,'data-sem'!1:1048576,66)</f>
        <v>234.92141259915661</v>
      </c>
      <c r="C86" s="15">
        <f>HLOOKUP(C22,'data-sem'!1:1048576,66)</f>
        <v>335.20466471698171</v>
      </c>
      <c r="D86" s="15">
        <f>HLOOKUP(D22,'data-sem'!1:1048576,66)</f>
        <v>725.21636687646833</v>
      </c>
      <c r="E86" s="15">
        <f>HLOOKUP(E22,'data-sem'!1:1048576,66)</f>
        <v>244.664323700024</v>
      </c>
      <c r="F86" s="15">
        <f>HLOOKUP(F22,'data-sem'!1:1048576,66)</f>
        <v>161.8882608512688</v>
      </c>
      <c r="G86" s="15">
        <f>HLOOKUP(G22,'data-sem'!1:1048576,66)</f>
        <v>452.29005459135772</v>
      </c>
      <c r="H86" s="15">
        <f>HLOOKUP(H22,'data-sem'!1:1048576,66)</f>
        <v>123.16496147445095</v>
      </c>
      <c r="I86" s="15">
        <f>HLOOKUP(I22,'data-sem'!1:1048576,66)</f>
        <v>240.75136072805623</v>
      </c>
      <c r="J86" s="15">
        <f>HLOOKUP(J22,'data-sem'!1:1048576,66)</f>
        <v>468.24671447728247</v>
      </c>
      <c r="K86" s="15">
        <f>HLOOKUP(K22,'data-sem'!1:1048576,66)</f>
        <v>703.39133431963353</v>
      </c>
      <c r="L86" s="15">
        <f>HLOOKUP(L22,'data-sem'!1:1048576,66)</f>
        <v>609.0425787423934</v>
      </c>
      <c r="M86" s="15">
        <f>HLOOKUP(M22,'data-sem'!1:1048576,66)</f>
        <v>268.24209416333889</v>
      </c>
      <c r="N86" s="15">
        <f>HLOOKUP(N22,'data-sem'!1:1048576,66)</f>
        <v>237.19048997666809</v>
      </c>
      <c r="O86" s="15">
        <f>HLOOKUP(O22,'data-sem'!1:1048576,66)</f>
        <v>246.27125225053464</v>
      </c>
      <c r="P86" s="15">
        <f>HLOOKUP(P22,'data-sem'!1:1048576,66)</f>
        <v>758.56713866997393</v>
      </c>
      <c r="Q86" s="15">
        <f>HLOOKUP(Q22,'data-sem'!1:1048576,66)</f>
        <v>382.6058632701816</v>
      </c>
      <c r="R86" s="15">
        <f>HLOOKUP(R22,'data-sem'!1:1048576,66)</f>
        <v>221.1051065586561</v>
      </c>
      <c r="S86" s="15">
        <f>HLOOKUP(S22,'data-sem'!1:1048576,66)</f>
        <v>123.4807414773572</v>
      </c>
      <c r="T86" s="15">
        <f>HLOOKUP(T22,'data-sem'!1:1048576,66)</f>
        <v>144.54430444161821</v>
      </c>
      <c r="U86" s="15">
        <f>HLOOKUP(U22,'data-sem'!1:1048576,66)</f>
        <v>218.00653859075274</v>
      </c>
      <c r="V86" s="15">
        <f>HLOOKUP(V22,'data-sem'!1:1048576,66)</f>
        <v>423.32279510743751</v>
      </c>
      <c r="W86" s="15">
        <f>HLOOKUP(W22,'data-sem'!1:1048576,66)</f>
        <v>478.50629391820644</v>
      </c>
      <c r="X86" s="15">
        <f>HLOOKUP(X22,'data-sem'!1:1048576,66)</f>
        <v>154.89466227898643</v>
      </c>
      <c r="Y86" s="15">
        <f>HLOOKUP(Y22,'data-sem'!1:1048576,66)</f>
        <v>257.44127729303392</v>
      </c>
      <c r="Z86" s="15">
        <f>HLOOKUP(Z22,'data-sem'!1:1048576,66)</f>
        <v>230.09293928859992</v>
      </c>
    </row>
    <row r="87" spans="1:26" x14ac:dyDescent="0.25">
      <c r="A87" s="14" t="s">
        <v>102</v>
      </c>
      <c r="B87" s="16">
        <f>HLOOKUP(B22,'data-sem'!1:1048576,67)</f>
        <v>210963.02599513953</v>
      </c>
      <c r="C87" s="16">
        <f>HLOOKUP(C22,'data-sem'!1:1048576,67)</f>
        <v>316456.84693050833</v>
      </c>
      <c r="D87" s="16">
        <f>HLOOKUP(D22,'data-sem'!1:1048576,67)</f>
        <v>966865.89220894605</v>
      </c>
      <c r="E87" s="16">
        <f>HLOOKUP(E22,'data-sem'!1:1048576,67)</f>
        <v>364691.42106532655</v>
      </c>
      <c r="F87" s="16">
        <f>HLOOKUP(F22,'data-sem'!1:1048576,67)</f>
        <v>221054.01880804036</v>
      </c>
      <c r="G87" s="16">
        <f>HLOOKUP(G22,'data-sem'!1:1048576,67)</f>
        <v>695506.49123334186</v>
      </c>
      <c r="H87" s="16">
        <f>HLOOKUP(H22,'data-sem'!1:1048576,67)</f>
        <v>253688.0040298118</v>
      </c>
      <c r="I87" s="16">
        <f>HLOOKUP(I22,'data-sem'!1:1048576,67)</f>
        <v>222622.5511099865</v>
      </c>
      <c r="J87" s="16">
        <f>HLOOKUP(J22,'data-sem'!1:1048576,67)</f>
        <v>497745.89646154025</v>
      </c>
      <c r="K87" s="16">
        <f>HLOOKUP(K22,'data-sem'!1:1048576,67)</f>
        <v>690214.37368807895</v>
      </c>
      <c r="L87" s="16">
        <f>HLOOKUP(L22,'data-sem'!1:1048576,67)</f>
        <v>537438.38694456907</v>
      </c>
      <c r="M87" s="16">
        <f>HLOOKUP(M22,'data-sem'!1:1048576,67)</f>
        <v>269138.74315253517</v>
      </c>
      <c r="N87" s="16">
        <f>HLOOKUP(N22,'data-sem'!1:1048576,67)</f>
        <v>367864.44682965404</v>
      </c>
      <c r="O87" s="16">
        <f>HLOOKUP(O22,'data-sem'!1:1048576,67)</f>
        <v>281980.57295975502</v>
      </c>
      <c r="P87" s="16">
        <f>HLOOKUP(P22,'data-sem'!1:1048576,67)</f>
        <v>388850.52349849482</v>
      </c>
      <c r="Q87" s="16">
        <f>HLOOKUP(Q22,'data-sem'!1:1048576,67)</f>
        <v>367290.4175423698</v>
      </c>
      <c r="R87" s="16">
        <f>HLOOKUP(R22,'data-sem'!1:1048576,67)</f>
        <v>332621.77251166361</v>
      </c>
      <c r="S87" s="16">
        <f>HLOOKUP(S22,'data-sem'!1:1048576,67)</f>
        <v>180721.39294793282</v>
      </c>
      <c r="T87" s="16">
        <f>HLOOKUP(T22,'data-sem'!1:1048576,67)</f>
        <v>185853.99764931103</v>
      </c>
      <c r="U87" s="16">
        <f>HLOOKUP(U22,'data-sem'!1:1048576,67)</f>
        <v>265897.35466991307</v>
      </c>
      <c r="V87" s="16">
        <f>HLOOKUP(V22,'data-sem'!1:1048576,67)</f>
        <v>575842.45165432745</v>
      </c>
      <c r="W87" s="16">
        <f>HLOOKUP(W22,'data-sem'!1:1048576,67)</f>
        <v>390347.08526002226</v>
      </c>
      <c r="X87" s="16">
        <f>HLOOKUP(X22,'data-sem'!1:1048576,67)</f>
        <v>175194.82356502919</v>
      </c>
      <c r="Y87" s="16">
        <f>HLOOKUP(Y22,'data-sem'!1:1048576,67)</f>
        <v>382138.05262530589</v>
      </c>
      <c r="Z87" s="16">
        <f>HLOOKUP(Z22,'data-sem'!1:1048576,67)</f>
        <v>449472.62441773701</v>
      </c>
    </row>
    <row r="88" spans="1:26" x14ac:dyDescent="0.25">
      <c r="A88" s="14" t="s">
        <v>103</v>
      </c>
      <c r="B88" s="17">
        <f>B86/B85</f>
        <v>1.2499911277696717E-2</v>
      </c>
      <c r="C88" s="17">
        <f t="shared" ref="C88:Z88" si="14">C86/C85</f>
        <v>1.4709893038010622E-2</v>
      </c>
      <c r="D88" s="17">
        <f t="shared" si="14"/>
        <v>1.9688266873121845E-2</v>
      </c>
      <c r="E88" s="17">
        <f t="shared" si="14"/>
        <v>9.383750304767003E-3</v>
      </c>
      <c r="F88" s="17">
        <f t="shared" si="14"/>
        <v>1.9897005293370136E-2</v>
      </c>
      <c r="G88" s="17">
        <f t="shared" si="14"/>
        <v>1.922583990028694E-2</v>
      </c>
      <c r="H88" s="17">
        <f t="shared" si="14"/>
        <v>2.3232007213761702E-2</v>
      </c>
      <c r="I88" s="17">
        <f t="shared" si="14"/>
        <v>1.6015172434915483E-2</v>
      </c>
      <c r="J88" s="17">
        <f t="shared" si="14"/>
        <v>1.6417560841266776E-2</v>
      </c>
      <c r="K88" s="17">
        <f t="shared" si="14"/>
        <v>2.3392292079821457E-2</v>
      </c>
      <c r="L88" s="17">
        <f t="shared" si="14"/>
        <v>1.4854490502627191E-2</v>
      </c>
      <c r="M88" s="17">
        <f t="shared" si="14"/>
        <v>2.9045755226307205E-2</v>
      </c>
      <c r="N88" s="17">
        <f t="shared" si="14"/>
        <v>2.8083575894877377E-2</v>
      </c>
      <c r="O88" s="17">
        <f t="shared" si="14"/>
        <v>3.4810969420293436E-2</v>
      </c>
      <c r="P88" s="17">
        <f t="shared" si="14"/>
        <v>3.8384532235249735E-2</v>
      </c>
      <c r="Q88" s="17">
        <f t="shared" si="14"/>
        <v>1.142646391497747E-2</v>
      </c>
      <c r="R88" s="17">
        <f t="shared" si="14"/>
        <v>1.710715711797129E-2</v>
      </c>
      <c r="S88" s="17">
        <f t="shared" si="14"/>
        <v>1.0868633417806115E-2</v>
      </c>
      <c r="T88" s="17">
        <f t="shared" si="14"/>
        <v>3.2959635915006266E-2</v>
      </c>
      <c r="U88" s="17">
        <f t="shared" si="14"/>
        <v>2.0479387897716448E-2</v>
      </c>
      <c r="V88" s="17">
        <f t="shared" si="14"/>
        <v>1.9120370583244155E-2</v>
      </c>
      <c r="W88" s="17">
        <f t="shared" si="14"/>
        <v>2.6671441747881681E-2</v>
      </c>
      <c r="X88" s="17">
        <f t="shared" si="14"/>
        <v>4.9016161712946921E-3</v>
      </c>
      <c r="Y88" s="17">
        <f t="shared" si="14"/>
        <v>3.5675338829228818E-2</v>
      </c>
      <c r="Z88" s="17">
        <f t="shared" si="14"/>
        <v>1.8664763994105563E-2</v>
      </c>
    </row>
    <row r="89" spans="1:26" x14ac:dyDescent="0.25">
      <c r="A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s="14" customFormat="1" x14ac:dyDescent="0.25">
      <c r="A90" s="14" t="s">
        <v>104</v>
      </c>
      <c r="B90" s="15">
        <f>HLOOKUP(B22,'data-sem'!1:1048576,70)</f>
        <v>21490.637922366568</v>
      </c>
      <c r="C90" s="15">
        <f>HLOOKUP(C22,'data-sem'!1:1048576,70)</f>
        <v>17225.168200363525</v>
      </c>
      <c r="D90" s="15">
        <f>HLOOKUP(D22,'data-sem'!1:1048576,70)</f>
        <v>25381.163751351902</v>
      </c>
      <c r="E90" s="15">
        <f>HLOOKUP(E22,'data-sem'!1:1048576,70)</f>
        <v>17205.480499437828</v>
      </c>
      <c r="F90" s="15">
        <f>HLOOKUP(F22,'data-sem'!1:1048576,70)</f>
        <v>26147.82619014693</v>
      </c>
      <c r="G90" s="15">
        <f>HLOOKUP(G22,'data-sem'!1:1048576,70)</f>
        <v>27561.265142519718</v>
      </c>
      <c r="H90" s="15">
        <f>HLOOKUP(H22,'data-sem'!1:1048576,70)</f>
        <v>31541.838999351949</v>
      </c>
      <c r="I90" s="15">
        <f>HLOOKUP(I22,'data-sem'!1:1048576,70)</f>
        <v>21162.93462439251</v>
      </c>
      <c r="J90" s="15">
        <f>HLOOKUP(J22,'data-sem'!1:1048576,70)</f>
        <v>58261.373448069353</v>
      </c>
      <c r="K90" s="15">
        <f>HLOOKUP(K22,'data-sem'!1:1048576,70)</f>
        <v>52086.904454532036</v>
      </c>
      <c r="L90" s="15">
        <f>HLOOKUP(L22,'data-sem'!1:1048576,70)</f>
        <v>45459.01358747964</v>
      </c>
      <c r="M90" s="15">
        <f>HLOOKUP(M22,'data-sem'!1:1048576,70)</f>
        <v>61869.717307270796</v>
      </c>
      <c r="N90" s="15">
        <f>HLOOKUP(N22,'data-sem'!1:1048576,70)</f>
        <v>28821.019720576704</v>
      </c>
      <c r="O90" s="15">
        <f>HLOOKUP(O22,'data-sem'!1:1048576,70)</f>
        <v>22305.048053376115</v>
      </c>
      <c r="P90" s="15">
        <f>HLOOKUP(P22,'data-sem'!1:1048576,70)</f>
        <v>27051.12083325471</v>
      </c>
      <c r="Q90" s="15">
        <f>HLOOKUP(Q22,'data-sem'!1:1048576,70)</f>
        <v>43164.894123769198</v>
      </c>
      <c r="R90" s="15">
        <f>HLOOKUP(R22,'data-sem'!1:1048576,70)</f>
        <v>39665.167851089718</v>
      </c>
      <c r="S90" s="15">
        <f>HLOOKUP(S22,'data-sem'!1:1048576,70)</f>
        <v>49798.051188657169</v>
      </c>
      <c r="T90" s="15">
        <f>HLOOKUP(T22,'data-sem'!1:1048576,70)</f>
        <v>48671.333536035643</v>
      </c>
      <c r="U90" s="15">
        <f>HLOOKUP(U22,'data-sem'!1:1048576,70)</f>
        <v>43252.298124434186</v>
      </c>
      <c r="V90" s="15">
        <f>HLOOKUP(V22,'data-sem'!1:1048576,70)</f>
        <v>57569.468059129758</v>
      </c>
      <c r="W90" s="15">
        <f>HLOOKUP(W22,'data-sem'!1:1048576,70)</f>
        <v>77470.338497748977</v>
      </c>
      <c r="X90" s="15">
        <f>HLOOKUP(X22,'data-sem'!1:1048576,70)</f>
        <v>36338.71642555904</v>
      </c>
      <c r="Y90" s="15">
        <f>HLOOKUP(Y22,'data-sem'!1:1048576,70)</f>
        <v>71311.918255443539</v>
      </c>
      <c r="Z90" s="15">
        <f>HLOOKUP(Z22,'data-sem'!1:1048576,70)</f>
        <v>31069.247355513631</v>
      </c>
    </row>
    <row r="91" spans="1:26" s="14" customFormat="1" x14ac:dyDescent="0.25">
      <c r="A91" s="14" t="s">
        <v>105</v>
      </c>
      <c r="B91" s="15">
        <f>HLOOKUP(B22,'data-sem'!1:1048576,71)</f>
        <v>180.42862343396118</v>
      </c>
      <c r="C91" s="15">
        <f>HLOOKUP(C22,'data-sem'!1:1048576,71)</f>
        <v>309.15242578331453</v>
      </c>
      <c r="D91" s="15">
        <f>HLOOKUP(D22,'data-sem'!1:1048576,71)</f>
        <v>244.23158145610481</v>
      </c>
      <c r="E91" s="15">
        <f>HLOOKUP(E22,'data-sem'!1:1048576,71)</f>
        <v>317.46751151546789</v>
      </c>
      <c r="F91" s="15">
        <f>HLOOKUP(F22,'data-sem'!1:1048576,71)</f>
        <v>445.22474859344743</v>
      </c>
      <c r="G91" s="15">
        <f>HLOOKUP(G22,'data-sem'!1:1048576,71)</f>
        <v>340.24707376454461</v>
      </c>
      <c r="H91" s="15">
        <f>HLOOKUP(H22,'data-sem'!1:1048576,71)</f>
        <v>687.46522126351476</v>
      </c>
      <c r="I91" s="15">
        <f>HLOOKUP(I22,'data-sem'!1:1048576,71)</f>
        <v>264.02715183985424</v>
      </c>
      <c r="J91" s="15">
        <f>HLOOKUP(J22,'data-sem'!1:1048576,71)</f>
        <v>407.85577199348967</v>
      </c>
      <c r="K91" s="15">
        <f>HLOOKUP(K22,'data-sem'!1:1048576,71)</f>
        <v>521.11363831020606</v>
      </c>
      <c r="L91" s="15">
        <f>HLOOKUP(L22,'data-sem'!1:1048576,71)</f>
        <v>655.37150636443607</v>
      </c>
      <c r="M91" s="15">
        <f>HLOOKUP(M22,'data-sem'!1:1048576,71)</f>
        <v>1901.9238995784187</v>
      </c>
      <c r="N91" s="15">
        <f>HLOOKUP(N22,'data-sem'!1:1048576,71)</f>
        <v>284.12956593611318</v>
      </c>
      <c r="O91" s="15">
        <f>HLOOKUP(O22,'data-sem'!1:1048576,71)</f>
        <v>444.2583050938311</v>
      </c>
      <c r="P91" s="15">
        <f>HLOOKUP(P22,'data-sem'!1:1048576,71)</f>
        <v>446.76828391499083</v>
      </c>
      <c r="Q91" s="15">
        <f>HLOOKUP(Q22,'data-sem'!1:1048576,71)</f>
        <v>383.63483318987375</v>
      </c>
      <c r="R91" s="15">
        <f>HLOOKUP(R22,'data-sem'!1:1048576,71)</f>
        <v>391.1534483819147</v>
      </c>
      <c r="S91" s="15">
        <f>HLOOKUP(S22,'data-sem'!1:1048576,71)</f>
        <v>505.95670190410112</v>
      </c>
      <c r="T91" s="15">
        <f>HLOOKUP(T22,'data-sem'!1:1048576,71)</f>
        <v>636.38389417449503</v>
      </c>
      <c r="U91" s="15">
        <f>HLOOKUP(U22,'data-sem'!1:1048576,71)</f>
        <v>403.87557360983959</v>
      </c>
      <c r="V91" s="15">
        <f>HLOOKUP(V22,'data-sem'!1:1048576,71)</f>
        <v>282.75966658679732</v>
      </c>
      <c r="W91" s="15">
        <f>HLOOKUP(W22,'data-sem'!1:1048576,71)</f>
        <v>793.42624222376401</v>
      </c>
      <c r="X91" s="15">
        <f>HLOOKUP(X22,'data-sem'!1:1048576,71)</f>
        <v>641.6487227649443</v>
      </c>
      <c r="Y91" s="15">
        <f>HLOOKUP(Y22,'data-sem'!1:1048576,71)</f>
        <v>2037.404637585875</v>
      </c>
      <c r="Z91" s="15">
        <f>HLOOKUP(Z22,'data-sem'!1:1048576,71)</f>
        <v>265.95624267577028</v>
      </c>
    </row>
    <row r="92" spans="1:26" s="14" customFormat="1" x14ac:dyDescent="0.25">
      <c r="A92" s="14" t="s">
        <v>106</v>
      </c>
      <c r="B92" s="16">
        <f>HLOOKUP(B22,'data-sem'!1:1048576,72)</f>
        <v>380685.35207889689</v>
      </c>
      <c r="C92" s="16">
        <f>HLOOKUP(C22,'data-sem'!1:1048576,72)</f>
        <v>667548.28006341239</v>
      </c>
      <c r="D92" s="16">
        <f>HLOOKUP(D22,'data-sem'!1:1048576,72)</f>
        <v>638038.34755116049</v>
      </c>
      <c r="E92" s="16">
        <f>HLOOKUP(E22,'data-sem'!1:1048576,72)</f>
        <v>440137.49655331753</v>
      </c>
      <c r="F92" s="16">
        <f>HLOOKUP(F22,'data-sem'!1:1048576,72)</f>
        <v>930667.5957094616</v>
      </c>
      <c r="G92" s="16">
        <f>HLOOKUP(G22,'data-sem'!1:1048576,72)</f>
        <v>659841.81950346567</v>
      </c>
      <c r="H92" s="16">
        <f>HLOOKUP(H22,'data-sem'!1:1048576,72)</f>
        <v>1107369.5836454709</v>
      </c>
      <c r="I92" s="16">
        <f>HLOOKUP(I22,'data-sem'!1:1048576,72)</f>
        <v>416525.55654642894</v>
      </c>
      <c r="J92" s="16">
        <f>HLOOKUP(J22,'data-sem'!1:1048576,72)</f>
        <v>520195.3887720647</v>
      </c>
      <c r="K92" s="16">
        <f>HLOOKUP(K22,'data-sem'!1:1048576,72)</f>
        <v>719754.4396043903</v>
      </c>
      <c r="L92" s="16">
        <f>HLOOKUP(L22,'data-sem'!1:1048576,72)</f>
        <v>511218.14458260383</v>
      </c>
      <c r="M92" s="16">
        <f>HLOOKUP(M22,'data-sem'!1:1048576,72)</f>
        <v>2775659.5749212289</v>
      </c>
      <c r="N92" s="16">
        <f>HLOOKUP(N22,'data-sem'!1:1048576,72)</f>
        <v>589392.39361071866</v>
      </c>
      <c r="O92" s="16">
        <f>HLOOKUP(O22,'data-sem'!1:1048576,72)</f>
        <v>425919.30102656217</v>
      </c>
      <c r="P92" s="16">
        <f>HLOOKUP(P22,'data-sem'!1:1048576,72)</f>
        <v>598849.37024227052</v>
      </c>
      <c r="Q92" s="16">
        <f>HLOOKUP(Q22,'data-sem'!1:1048576,72)</f>
        <v>530240.84567406564</v>
      </c>
      <c r="R92" s="16">
        <f>HLOOKUP(R22,'data-sem'!1:1048576,72)</f>
        <v>618216.25078573066</v>
      </c>
      <c r="S92" s="16">
        <f>HLOOKUP(S22,'data-sem'!1:1048576,72)</f>
        <v>421456.21991841309</v>
      </c>
      <c r="T92" s="16">
        <f>HLOOKUP(T22,'data-sem'!1:1048576,72)</f>
        <v>1529313.1878204725</v>
      </c>
      <c r="U92" s="16">
        <f>HLOOKUP(U22,'data-sem'!1:1048576,72)</f>
        <v>427360.01812162617</v>
      </c>
      <c r="V92" s="16">
        <f>HLOOKUP(V22,'data-sem'!1:1048576,72)</f>
        <v>586295.27770451561</v>
      </c>
      <c r="W92" s="16">
        <f>HLOOKUP(W22,'data-sem'!1:1048576,72)</f>
        <v>901659.91060381464</v>
      </c>
      <c r="X92" s="16">
        <f>HLOOKUP(X22,'data-sem'!1:1048576,72)</f>
        <v>885749.5230505194</v>
      </c>
      <c r="Y92" s="16">
        <f>HLOOKUP(Y22,'data-sem'!1:1048576,72)</f>
        <v>2192852.5224639755</v>
      </c>
      <c r="Z92" s="16">
        <f>HLOOKUP(Z22,'data-sem'!1:1048576,72)</f>
        <v>566162.74671145133</v>
      </c>
    </row>
    <row r="93" spans="1:26" s="14" customFormat="1" x14ac:dyDescent="0.25">
      <c r="A93" s="14" t="s">
        <v>107</v>
      </c>
      <c r="B93" s="17">
        <f>B91/B90</f>
        <v>8.3956848598793123E-3</v>
      </c>
      <c r="C93" s="17">
        <f t="shared" ref="C93:Z93" si="15">C91/C90</f>
        <v>1.7947715934453986E-2</v>
      </c>
      <c r="D93" s="17">
        <f t="shared" si="15"/>
        <v>9.6225525294558675E-3</v>
      </c>
      <c r="E93" s="17">
        <f t="shared" si="15"/>
        <v>1.8451534179812115E-2</v>
      </c>
      <c r="F93" s="17">
        <f t="shared" si="15"/>
        <v>1.7027218452339943E-2</v>
      </c>
      <c r="G93" s="17">
        <f t="shared" si="15"/>
        <v>1.2345118121578303E-2</v>
      </c>
      <c r="H93" s="17">
        <f t="shared" si="15"/>
        <v>2.1795343679157048E-2</v>
      </c>
      <c r="I93" s="17">
        <f t="shared" si="15"/>
        <v>1.2475923425834107E-2</v>
      </c>
      <c r="J93" s="17">
        <f t="shared" si="15"/>
        <v>7.00044897425955E-3</v>
      </c>
      <c r="K93" s="17">
        <f t="shared" si="15"/>
        <v>1.0004695878310434E-2</v>
      </c>
      <c r="L93" s="17">
        <f t="shared" si="15"/>
        <v>1.4416755988408404E-2</v>
      </c>
      <c r="M93" s="17">
        <f t="shared" si="15"/>
        <v>3.0740788585353836E-2</v>
      </c>
      <c r="N93" s="17">
        <f t="shared" si="15"/>
        <v>9.8584147504420013E-3</v>
      </c>
      <c r="O93" s="17">
        <f t="shared" si="15"/>
        <v>1.9917388388077814E-2</v>
      </c>
      <c r="P93" s="17">
        <f t="shared" si="15"/>
        <v>1.6515703237174776E-2</v>
      </c>
      <c r="Q93" s="17">
        <f t="shared" si="15"/>
        <v>8.8876583848405931E-3</v>
      </c>
      <c r="R93" s="17">
        <f t="shared" si="15"/>
        <v>9.8613839187666162E-3</v>
      </c>
      <c r="S93" s="17">
        <f t="shared" si="15"/>
        <v>1.0160170726105568E-2</v>
      </c>
      <c r="T93" s="17">
        <f t="shared" si="15"/>
        <v>1.3075127553333307E-2</v>
      </c>
      <c r="U93" s="17">
        <f t="shared" si="15"/>
        <v>9.3376673870117725E-3</v>
      </c>
      <c r="V93" s="17">
        <f t="shared" si="15"/>
        <v>4.9116254869052134E-3</v>
      </c>
      <c r="W93" s="17">
        <f t="shared" si="15"/>
        <v>1.0241677751889755E-2</v>
      </c>
      <c r="X93" s="17">
        <f t="shared" si="15"/>
        <v>1.7657440489935332E-2</v>
      </c>
      <c r="Y93" s="17">
        <f t="shared" si="15"/>
        <v>2.8570324392169204E-2</v>
      </c>
      <c r="Z93" s="17">
        <f t="shared" si="15"/>
        <v>8.560112178854341E-3</v>
      </c>
    </row>
    <row r="95" spans="1:26" s="14" customFormat="1" x14ac:dyDescent="0.25">
      <c r="A95" s="14" t="s">
        <v>116</v>
      </c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s="16" customFormat="1" x14ac:dyDescent="0.25">
      <c r="A96" s="16" t="s">
        <v>117</v>
      </c>
      <c r="B96" s="16">
        <f>HLOOKUP(B22,'data-sem'!1:1048576,77)</f>
        <v>4639.8031465263339</v>
      </c>
      <c r="C96" s="16">
        <f>HLOOKUP(C22,'data-sem'!1:1048576,77)</f>
        <v>4050.9434204709296</v>
      </c>
      <c r="D96" s="16">
        <f>HLOOKUP(D22,'data-sem'!1:1048576,77)</f>
        <v>5739.4588879010771</v>
      </c>
      <c r="E96" s="16">
        <f>HLOOKUP(E22,'data-sem'!1:1048576,77)</f>
        <v>6222.2402808097395</v>
      </c>
      <c r="F96" s="16">
        <f>HLOOKUP(F22,'data-sem'!1:1048576,77)</f>
        <v>3598.3576297965965</v>
      </c>
      <c r="G96" s="16">
        <f>HLOOKUP(G22,'data-sem'!1:1048576,77)</f>
        <v>8332.2973719576203</v>
      </c>
      <c r="H96" s="16">
        <f>HLOOKUP(H22,'data-sem'!1:1048576,77)</f>
        <v>12017.152875983407</v>
      </c>
      <c r="I96" s="16">
        <f>HLOOKUP(I22,'data-sem'!1:1048576,77)</f>
        <v>3696.0682690289959</v>
      </c>
      <c r="J96" s="16">
        <f>HLOOKUP(J22,'data-sem'!1:1048576,77)</f>
        <v>6723.4225809974432</v>
      </c>
      <c r="K96" s="16">
        <f>HLOOKUP(K22,'data-sem'!1:1048576,77)</f>
        <v>5664.0362333614266</v>
      </c>
      <c r="L96" s="16">
        <f>HLOOKUP(L22,'data-sem'!1:1048576,77)</f>
        <v>6153.5551628038438</v>
      </c>
      <c r="M96" s="16">
        <f>HLOOKUP(M22,'data-sem'!1:1048576,77)</f>
        <v>4357.5618067866471</v>
      </c>
      <c r="N96" s="16">
        <f>HLOOKUP(N22,'data-sem'!1:1048576,77)</f>
        <v>3746.9504508873638</v>
      </c>
      <c r="O96" s="16">
        <f>HLOOKUP(O22,'data-sem'!1:1048576,77)</f>
        <v>2377.2084709426472</v>
      </c>
      <c r="P96" s="16">
        <f>HLOOKUP(P22,'data-sem'!1:1048576,77)</f>
        <v>4358.6522987551516</v>
      </c>
      <c r="Q96" s="16">
        <f>HLOOKUP(Q22,'data-sem'!1:1048576,77)</f>
        <v>4233.2322766951565</v>
      </c>
      <c r="R96" s="16">
        <f>HLOOKUP(R22,'data-sem'!1:1048576,77)</f>
        <v>3271.8356815477755</v>
      </c>
      <c r="S96" s="16">
        <f>HLOOKUP(S22,'data-sem'!1:1048576,77)</f>
        <v>3213.7130997182335</v>
      </c>
      <c r="T96" s="16">
        <f>HLOOKUP(T22,'data-sem'!1:1048576,77)</f>
        <v>3622.4423822536719</v>
      </c>
      <c r="U96" s="16">
        <f>HLOOKUP(U22,'data-sem'!1:1048576,77)</f>
        <v>5781.6322869756214</v>
      </c>
      <c r="V96" s="16">
        <f>HLOOKUP(V22,'data-sem'!1:1048576,77)</f>
        <v>4061.001870042006</v>
      </c>
      <c r="W96" s="16">
        <f>HLOOKUP(W22,'data-sem'!1:1048576,77)</f>
        <v>5917.5748993010766</v>
      </c>
      <c r="X96" s="16">
        <f>HLOOKUP(X22,'data-sem'!1:1048576,77)</f>
        <v>4539.3324714243345</v>
      </c>
      <c r="Y96" s="16">
        <f>HLOOKUP(Y22,'data-sem'!1:1048576,77)</f>
        <v>3057.8264440412604</v>
      </c>
      <c r="Z96" s="16">
        <f>HLOOKUP(Z22,'data-sem'!1:1048576,77)</f>
        <v>1920.1216254344401</v>
      </c>
    </row>
    <row r="97" spans="1:26" s="14" customFormat="1" x14ac:dyDescent="0.25">
      <c r="A97" s="15" t="s">
        <v>118</v>
      </c>
      <c r="B97" s="15">
        <f>HLOOKUP(B22,'data-sem'!1:1048576,78)</f>
        <v>29433.504627633185</v>
      </c>
      <c r="C97" s="15">
        <f>HLOOKUP(C22,'data-sem'!1:1048576,78)</f>
        <v>43782.55878208371</v>
      </c>
      <c r="D97" s="15">
        <f>HLOOKUP(D22,'data-sem'!1:1048576,78)</f>
        <v>32257.113170289889</v>
      </c>
      <c r="E97" s="15">
        <f>HLOOKUP(E22,'data-sem'!1:1048576,78)</f>
        <v>51538.511834713754</v>
      </c>
      <c r="F97" s="15">
        <f>HLOOKUP(F22,'data-sem'!1:1048576,78)</f>
        <v>48062.299371094974</v>
      </c>
      <c r="G97" s="15">
        <f>HLOOKUP(G22,'data-sem'!1:1048576,78)</f>
        <v>33158.469566317137</v>
      </c>
      <c r="H97" s="15">
        <f>HLOOKUP(H22,'data-sem'!1:1048576,78)</f>
        <v>54776.336391792393</v>
      </c>
      <c r="I97" s="15">
        <f>HLOOKUP(I22,'data-sem'!1:1048576,78)</f>
        <v>28335.63398678165</v>
      </c>
      <c r="J97" s="15">
        <f>HLOOKUP(J22,'data-sem'!1:1048576,78)</f>
        <v>28800.339140004406</v>
      </c>
      <c r="K97" s="15">
        <f>HLOOKUP(K22,'data-sem'!1:1048576,78)</f>
        <v>39125.872441622407</v>
      </c>
      <c r="L97" s="15">
        <f>HLOOKUP(L22,'data-sem'!1:1048576,78)</f>
        <v>30079.737192847959</v>
      </c>
      <c r="M97" s="15">
        <f>HLOOKUP(M22,'data-sem'!1:1048576,78)</f>
        <v>26016.231131571763</v>
      </c>
      <c r="N97" s="15">
        <f>HLOOKUP(N22,'data-sem'!1:1048576,78)</f>
        <v>22640.449272100788</v>
      </c>
      <c r="O97" s="15">
        <f>HLOOKUP(O22,'data-sem'!1:1048576,78)</f>
        <v>31561.295558547299</v>
      </c>
      <c r="P97" s="15">
        <f>HLOOKUP(P22,'data-sem'!1:1048576,78)</f>
        <v>22050.726975936785</v>
      </c>
      <c r="Q97" s="15">
        <f>HLOOKUP(Q22,'data-sem'!1:1048576,78)</f>
        <v>22240.723961449443</v>
      </c>
      <c r="R97" s="15">
        <f>HLOOKUP(R22,'data-sem'!1:1048576,78)</f>
        <v>19312.597711286831</v>
      </c>
      <c r="S97" s="15">
        <f>HLOOKUP(S22,'data-sem'!1:1048576,78)</f>
        <v>18458.522982278297</v>
      </c>
      <c r="T97" s="15">
        <f>HLOOKUP(T22,'data-sem'!1:1048576,78)</f>
        <v>31307.02682612645</v>
      </c>
      <c r="U97" s="15">
        <f>HLOOKUP(U22,'data-sem'!1:1048576,78)</f>
        <v>47777.312004312145</v>
      </c>
      <c r="V97" s="15">
        <f>HLOOKUP(V22,'data-sem'!1:1048576,78)</f>
        <v>35601.494871679221</v>
      </c>
      <c r="W97" s="15">
        <f>HLOOKUP(W22,'data-sem'!1:1048576,78)</f>
        <v>55979.423053705454</v>
      </c>
      <c r="X97" s="15">
        <f>HLOOKUP(X22,'data-sem'!1:1048576,78)</f>
        <v>38192.280660030337</v>
      </c>
      <c r="Y97" s="15">
        <f>HLOOKUP(Y22,'data-sem'!1:1048576,78)</f>
        <v>42738.538314968318</v>
      </c>
      <c r="Z97" s="15">
        <f>HLOOKUP(Z22,'data-sem'!1:1048576,78)</f>
        <v>35668.225499555556</v>
      </c>
    </row>
    <row r="98" spans="1:26" s="14" customFormat="1" x14ac:dyDescent="0.25">
      <c r="A98" s="15" t="s">
        <v>119</v>
      </c>
      <c r="B98" s="15">
        <f>HLOOKUP(B22,'data-sem'!1:1048576,79)</f>
        <v>1010.9282953478471</v>
      </c>
      <c r="C98" s="15">
        <f>HLOOKUP(C22,'data-sem'!1:1048576,79)</f>
        <v>807.9585374032506</v>
      </c>
      <c r="D98" s="15">
        <f>HLOOKUP(D22,'data-sem'!1:1048576,79)</f>
        <v>860.49458875794869</v>
      </c>
      <c r="E98" s="15">
        <f>HLOOKUP(E22,'data-sem'!1:1048576,79)</f>
        <v>608.68515056012973</v>
      </c>
      <c r="F98" s="15">
        <f>HLOOKUP(F22,'data-sem'!1:1048576,79)</f>
        <v>694.85538126802749</v>
      </c>
      <c r="G98" s="15">
        <f>HLOOKUP(G22,'data-sem'!1:1048576,79)</f>
        <v>1000.8436828935943</v>
      </c>
      <c r="H98" s="15">
        <f>HLOOKUP(H22,'data-sem'!1:1048576,79)</f>
        <v>611.8310336999856</v>
      </c>
      <c r="I98" s="15">
        <f>HLOOKUP(I22,'data-sem'!1:1048576,79)</f>
        <v>621.35787324882506</v>
      </c>
      <c r="J98" s="15">
        <f>HLOOKUP(J22,'data-sem'!1:1048576,79)</f>
        <v>841.97889464622563</v>
      </c>
      <c r="K98" s="15">
        <f>HLOOKUP(K22,'data-sem'!1:1048576,79)</f>
        <v>1055.613187000745</v>
      </c>
      <c r="L98" s="15">
        <f>HLOOKUP(L22,'data-sem'!1:1048576,79)</f>
        <v>1300.6316207562029</v>
      </c>
      <c r="M98" s="15">
        <f>HLOOKUP(M22,'data-sem'!1:1048576,79)</f>
        <v>1039.7210928023655</v>
      </c>
      <c r="N98" s="15">
        <f>HLOOKUP(N22,'data-sem'!1:1048576,79)</f>
        <v>493.55492697958454</v>
      </c>
      <c r="O98" s="15">
        <f>HLOOKUP(O22,'data-sem'!1:1048576,79)</f>
        <v>803.16309506798279</v>
      </c>
      <c r="P98" s="15">
        <f>HLOOKUP(P22,'data-sem'!1:1048576,79)</f>
        <v>606.80695194114321</v>
      </c>
      <c r="Q98" s="15">
        <f>HLOOKUP(Q22,'data-sem'!1:1048576,79)</f>
        <v>734.80405533097394</v>
      </c>
      <c r="R98" s="15">
        <f>HLOOKUP(R22,'data-sem'!1:1048576,79)</f>
        <v>681.3746126471284</v>
      </c>
      <c r="S98" s="15">
        <f>HLOOKUP(S22,'data-sem'!1:1048576,79)</f>
        <v>458.45145337169981</v>
      </c>
      <c r="T98" s="15">
        <f>HLOOKUP(T22,'data-sem'!1:1048576,79)</f>
        <v>746.42189659315636</v>
      </c>
      <c r="U98" s="15">
        <f>HLOOKUP(U22,'data-sem'!1:1048576,79)</f>
        <v>1122.0690333978901</v>
      </c>
      <c r="V98" s="15">
        <f>HLOOKUP(V22,'data-sem'!1:1048576,79)</f>
        <v>851.83315545786525</v>
      </c>
      <c r="W98" s="15">
        <f>HLOOKUP(W22,'data-sem'!1:1048576,79)</f>
        <v>1194.5005855558043</v>
      </c>
      <c r="X98" s="15">
        <f>HLOOKUP(X22,'data-sem'!1:1048576,79)</f>
        <v>1077.1782795460422</v>
      </c>
      <c r="Y98" s="15">
        <f>HLOOKUP(Y22,'data-sem'!1:1048576,79)</f>
        <v>650.24349249155034</v>
      </c>
      <c r="Z98" s="15">
        <f>HLOOKUP(Z22,'data-sem'!1:1048576,79)</f>
        <v>479.58270123823246</v>
      </c>
    </row>
    <row r="99" spans="1:26" s="16" customFormat="1" x14ac:dyDescent="0.25">
      <c r="A99" s="16" t="s">
        <v>120</v>
      </c>
      <c r="B99" s="16">
        <f>HLOOKUP(B22,'data-sem'!1:1048576,80)</f>
        <v>90737.717622962882</v>
      </c>
      <c r="C99" s="16">
        <f>HLOOKUP(C22,'data-sem'!1:1048576,80)</f>
        <v>77400.909247622229</v>
      </c>
      <c r="D99" s="16">
        <f>HLOOKUP(D22,'data-sem'!1:1048576,80)</f>
        <v>54248.934658948019</v>
      </c>
      <c r="E99" s="16">
        <f>HLOOKUP(E22,'data-sem'!1:1048576,80)</f>
        <v>64842.551109275686</v>
      </c>
      <c r="F99" s="16">
        <f>HLOOKUP(F22,'data-sem'!1:1048576,80)</f>
        <v>100567.95859124746</v>
      </c>
      <c r="G99" s="16">
        <f>HLOOKUP(G22,'data-sem'!1:1048576,80)</f>
        <v>37041.857679285218</v>
      </c>
      <c r="H99" s="16">
        <f>HLOOKUP(H22,'data-sem'!1:1048576,80)</f>
        <v>38839.025830795385</v>
      </c>
      <c r="I99" s="16">
        <f>HLOOKUP(I22,'data-sem'!1:1048576,80)</f>
        <v>40419.671770477886</v>
      </c>
      <c r="J99" s="16">
        <f>HLOOKUP(J22,'data-sem'!1:1048576,80)</f>
        <v>28540.417932607608</v>
      </c>
      <c r="K99" s="16">
        <f>HLOOKUP(K22,'data-sem'!1:1048576,80)</f>
        <v>31323.367041161746</v>
      </c>
      <c r="L99" s="16">
        <f>HLOOKUP(L22,'data-sem'!1:1048576,80)</f>
        <v>41323.760503770791</v>
      </c>
      <c r="M99" s="16">
        <f>HLOOKUP(M22,'data-sem'!1:1048576,80)</f>
        <v>46032.405184149662</v>
      </c>
      <c r="N99" s="16">
        <f>HLOOKUP(N22,'data-sem'!1:1048576,80)</f>
        <v>40264.298302412251</v>
      </c>
      <c r="O99" s="16">
        <f>HLOOKUP(O22,'data-sem'!1:1048576,80)</f>
        <v>23363.639940236342</v>
      </c>
      <c r="P99" s="16">
        <f>HLOOKUP(P22,'data-sem'!1:1048576,80)</f>
        <v>43031.800686026945</v>
      </c>
      <c r="Q99" s="16">
        <f>HLOOKUP(Q22,'data-sem'!1:1048576,80)</f>
        <v>44258.674924425293</v>
      </c>
      <c r="R99" s="16">
        <f>HLOOKUP(R22,'data-sem'!1:1048576,80)</f>
        <v>52947.251651858183</v>
      </c>
      <c r="S99" s="16">
        <f>HLOOKUP(S22,'data-sem'!1:1048576,80)</f>
        <v>55877.303250389021</v>
      </c>
      <c r="T99" s="16">
        <f>HLOOKUP(T22,'data-sem'!1:1048576,80)</f>
        <v>81146.987157061914</v>
      </c>
      <c r="U99" s="16">
        <f>HLOOKUP(U22,'data-sem'!1:1048576,80)</f>
        <v>126259.82491757564</v>
      </c>
      <c r="V99" s="16">
        <f>HLOOKUP(V22,'data-sem'!1:1048576,80)</f>
        <v>110147.99446267997</v>
      </c>
      <c r="W99" s="16">
        <f>HLOOKUP(W22,'data-sem'!1:1048576,80)</f>
        <v>99139.397390815575</v>
      </c>
      <c r="X99" s="16">
        <f>HLOOKUP(X22,'data-sem'!1:1048576,80)</f>
        <v>92018.825900767377</v>
      </c>
      <c r="Y99" s="16">
        <f>HLOOKUP(Y22,'data-sem'!1:1048576,80)</f>
        <v>59227.320877042243</v>
      </c>
      <c r="Z99" s="16">
        <f>HLOOKUP(Z22,'data-sem'!1:1048576,80)</f>
        <v>47858.699810589205</v>
      </c>
    </row>
    <row r="100" spans="1:26" s="14" customFormat="1" x14ac:dyDescent="0.25">
      <c r="A100" s="15" t="s">
        <v>121</v>
      </c>
      <c r="B100" s="15">
        <f>HLOOKUP(B22,'data-sem'!1:1048576,81)</f>
        <v>38909.442164522217</v>
      </c>
      <c r="C100" s="15">
        <f>HLOOKUP(C22,'data-sem'!1:1048576,81)</f>
        <v>19692.824277717948</v>
      </c>
      <c r="D100" s="15">
        <f>HLOOKUP(D22,'data-sem'!1:1048576,81)</f>
        <v>22258.274817823021</v>
      </c>
      <c r="E100" s="15">
        <f>HLOOKUP(E22,'data-sem'!1:1048576,81)</f>
        <v>29417.506390895745</v>
      </c>
      <c r="F100" s="15">
        <f>HLOOKUP(F22,'data-sem'!1:1048576,81)</f>
        <v>20098.32670868234</v>
      </c>
      <c r="G100" s="15">
        <f>HLOOKUP(G22,'data-sem'!1:1048576,81)</f>
        <v>16405.069429557585</v>
      </c>
      <c r="H100" s="15">
        <f>HLOOKUP(H22,'data-sem'!1:1048576,81)</f>
        <v>10512.334069091497</v>
      </c>
      <c r="I100" s="15">
        <f>HLOOKUP(I22,'data-sem'!1:1048576,81)</f>
        <v>15099.364198216643</v>
      </c>
      <c r="J100" s="15">
        <f>HLOOKUP(J22,'data-sem'!1:1048576,81)</f>
        <v>20659.342032725261</v>
      </c>
      <c r="K100" s="15">
        <f>HLOOKUP(K22,'data-sem'!1:1048576,81)</f>
        <v>19140.256581923983</v>
      </c>
      <c r="L100" s="15">
        <f>HLOOKUP(L22,'data-sem'!1:1048576,81)</f>
        <v>19850.934065041507</v>
      </c>
      <c r="M100" s="15">
        <f>HLOOKUP(M22,'data-sem'!1:1048576,81)</f>
        <v>20885.960809147608</v>
      </c>
      <c r="N100" s="15">
        <f>HLOOKUP(N22,'data-sem'!1:1048576,81)</f>
        <v>20524.032458821373</v>
      </c>
      <c r="O100" s="15">
        <f>HLOOKUP(O22,'data-sem'!1:1048576,81)</f>
        <v>16933.004034357484</v>
      </c>
      <c r="P100" s="15">
        <f>HLOOKUP(P22,'data-sem'!1:1048576,81)</f>
        <v>10472.597550484617</v>
      </c>
      <c r="Q100" s="15">
        <f>HLOOKUP(Q22,'data-sem'!1:1048576,81)</f>
        <v>17989.926047106168</v>
      </c>
      <c r="R100" s="15">
        <f>HLOOKUP(R22,'data-sem'!1:1048576,81)</f>
        <v>17450.674674348087</v>
      </c>
      <c r="S100" s="15">
        <f>HLOOKUP(S22,'data-sem'!1:1048576,81)</f>
        <v>15212.218844692803</v>
      </c>
      <c r="T100" s="15">
        <f>HLOOKUP(T22,'data-sem'!1:1048576,81)</f>
        <v>28954.321549740762</v>
      </c>
      <c r="U100" s="15">
        <f>HLOOKUP(U22,'data-sem'!1:1048576,81)</f>
        <v>43491.429958515109</v>
      </c>
      <c r="V100" s="15">
        <f>HLOOKUP(V22,'data-sem'!1:1048576,81)</f>
        <v>38568.994720690222</v>
      </c>
      <c r="W100" s="15">
        <f>HLOOKUP(W22,'data-sem'!1:1048576,81)</f>
        <v>54348.264976581013</v>
      </c>
      <c r="X100" s="15">
        <f>HLOOKUP(X22,'data-sem'!1:1048576,81)</f>
        <v>35293.7609917722</v>
      </c>
      <c r="Y100" s="15">
        <f>HLOOKUP(Y22,'data-sem'!1:1048576,81)</f>
        <v>24668.36970609723</v>
      </c>
      <c r="Z100" s="15">
        <f>HLOOKUP(Z22,'data-sem'!1:1048576,81)</f>
        <v>29671.508562377065</v>
      </c>
    </row>
    <row r="101" spans="1:26" s="14" customFormat="1" x14ac:dyDescent="0.25">
      <c r="A101" s="14" t="s">
        <v>122</v>
      </c>
      <c r="B101" s="15">
        <f>HLOOKUP(B22,'data-sem'!1:1048576,82)</f>
        <v>409.57308446336828</v>
      </c>
      <c r="C101" s="15">
        <f>HLOOKUP(C22,'data-sem'!1:1048576,82)</f>
        <v>612.60530196191667</v>
      </c>
      <c r="D101" s="15">
        <f>HLOOKUP(D22,'data-sem'!1:1048576,82)</f>
        <v>384.47148388438183</v>
      </c>
      <c r="E101" s="15">
        <f>HLOOKUP(E22,'data-sem'!1:1048576,82)</f>
        <v>471.50187875349138</v>
      </c>
      <c r="F101" s="15">
        <f>HLOOKUP(F22,'data-sem'!1:1048576,82)</f>
        <v>291.88252214855919</v>
      </c>
      <c r="G101" s="15">
        <f>HLOOKUP(G22,'data-sem'!1:1048576,82)</f>
        <v>202.52072365610326</v>
      </c>
      <c r="H101" s="15">
        <f>HLOOKUP(H22,'data-sem'!1:1048576,82)</f>
        <v>214.53178014875488</v>
      </c>
      <c r="I101" s="15">
        <f>HLOOKUP(I22,'data-sem'!1:1048576,82)</f>
        <v>372.33287745145435</v>
      </c>
      <c r="J101" s="15">
        <f>HLOOKUP(J22,'data-sem'!1:1048576,82)</f>
        <v>168.41980088400479</v>
      </c>
      <c r="K101" s="15">
        <f>HLOOKUP(K22,'data-sem'!1:1048576,82)</f>
        <v>472.88403260268717</v>
      </c>
      <c r="L101" s="15">
        <f>HLOOKUP(L22,'data-sem'!1:1048576,82)</f>
        <v>831.60534197513186</v>
      </c>
      <c r="M101" s="15">
        <f>HLOOKUP(M22,'data-sem'!1:1048576,82)</f>
        <v>410.75813870592845</v>
      </c>
      <c r="N101" s="15">
        <f>HLOOKUP(N22,'data-sem'!1:1048576,82)</f>
        <v>248.49481442103172</v>
      </c>
      <c r="O101" s="15">
        <f>HLOOKUP(O22,'data-sem'!1:1048576,82)</f>
        <v>270.41215551376848</v>
      </c>
      <c r="P101" s="15">
        <f>HLOOKUP(P22,'data-sem'!1:1048576,82)</f>
        <v>441.82817458108923</v>
      </c>
      <c r="Q101" s="15">
        <f>HLOOKUP(Q22,'data-sem'!1:1048576,82)</f>
        <v>406.93580879352692</v>
      </c>
      <c r="R101" s="15">
        <f>HLOOKUP(R22,'data-sem'!1:1048576,82)</f>
        <v>317.78396891299764</v>
      </c>
      <c r="S101" s="15">
        <f>HLOOKUP(S22,'data-sem'!1:1048576,82)</f>
        <v>386.89225947438223</v>
      </c>
      <c r="T101" s="15">
        <f>HLOOKUP(T22,'data-sem'!1:1048576,82)</f>
        <v>469.06638464581897</v>
      </c>
      <c r="U101" s="15">
        <f>HLOOKUP(U22,'data-sem'!1:1048576,82)</f>
        <v>521.47132944546115</v>
      </c>
      <c r="V101" s="15">
        <f>HLOOKUP(V22,'data-sem'!1:1048576,82)</f>
        <v>548.74527600217664</v>
      </c>
      <c r="W101" s="15">
        <f>HLOOKUP(W22,'data-sem'!1:1048576,82)</f>
        <v>1139.2215485799968</v>
      </c>
      <c r="X101" s="15">
        <f>HLOOKUP(X22,'data-sem'!1:1048576,82)</f>
        <v>645.54497928750652</v>
      </c>
      <c r="Y101" s="15">
        <f>HLOOKUP(Y22,'data-sem'!1:1048576,82)</f>
        <v>532.36962325459376</v>
      </c>
      <c r="Z101" s="15">
        <f>HLOOKUP(Z22,'data-sem'!1:1048576,82)</f>
        <v>508.09600207262127</v>
      </c>
    </row>
    <row r="103" spans="1:26" x14ac:dyDescent="0.25">
      <c r="A103" s="12" t="s">
        <v>139</v>
      </c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s="19" customFormat="1" x14ac:dyDescent="0.25">
      <c r="A104" s="16" t="s">
        <v>140</v>
      </c>
      <c r="B104" s="16">
        <f>HLOOKUP(B22,'data-sem'!1:1048576,85)</f>
        <v>13758.382162319078</v>
      </c>
      <c r="C104" s="16">
        <f>HLOOKUP(C22,'data-sem'!1:1048576,85)</f>
        <v>26508.318060076988</v>
      </c>
      <c r="D104" s="16">
        <f>HLOOKUP(D22,'data-sem'!1:1048576,85)</f>
        <v>30755.006541731433</v>
      </c>
      <c r="E104" s="16">
        <f>HLOOKUP(E22,'data-sem'!1:1048576,85)</f>
        <v>30083.68157466835</v>
      </c>
      <c r="F104" s="16">
        <f>HLOOKUP(F22,'data-sem'!1:1048576,85)</f>
        <v>26582.006626807994</v>
      </c>
      <c r="G104" s="16">
        <f>HLOOKUP(G22,'data-sem'!1:1048576,85)</f>
        <v>11321.103568459941</v>
      </c>
      <c r="H104" s="16">
        <f>HLOOKUP(H22,'data-sem'!1:1048576,85)</f>
        <v>8796.0553117915733</v>
      </c>
      <c r="I104" s="16">
        <f>HLOOKUP(I22,'data-sem'!1:1048576,85)</f>
        <v>6969.3176324166652</v>
      </c>
      <c r="J104" s="16">
        <f>HLOOKUP(J22,'data-sem'!1:1048576,85)</f>
        <v>18212.737237131943</v>
      </c>
      <c r="K104" s="16">
        <f>HLOOKUP(K22,'data-sem'!1:1048576,85)</f>
        <v>11584.335653139153</v>
      </c>
      <c r="L104" s="16">
        <f>HLOOKUP(L22,'data-sem'!1:1048576,85)</f>
        <v>12066.898353138087</v>
      </c>
      <c r="M104" s="16">
        <f>HLOOKUP(M22,'data-sem'!1:1048576,85)</f>
        <v>8306.9296101520467</v>
      </c>
      <c r="N104" s="16">
        <f>HLOOKUP(N22,'data-sem'!1:1048576,85)</f>
        <v>6623.5510823728946</v>
      </c>
      <c r="O104" s="16">
        <f>HLOOKUP(O22,'data-sem'!1:1048576,85)</f>
        <v>11924.060402407866</v>
      </c>
      <c r="P104" s="16">
        <f>HLOOKUP(P22,'data-sem'!1:1048576,85)</f>
        <v>7922.4911588178784</v>
      </c>
      <c r="Q104" s="16">
        <f>HLOOKUP(Q22,'data-sem'!1:1048576,85)</f>
        <v>10543.468608197447</v>
      </c>
      <c r="R104" s="16">
        <f>HLOOKUP(R22,'data-sem'!1:1048576,85)</f>
        <v>12479.014392090088</v>
      </c>
      <c r="S104" s="16">
        <f>HLOOKUP(S22,'data-sem'!1:1048576,85)</f>
        <v>10312.285144559848</v>
      </c>
      <c r="T104" s="16">
        <f>HLOOKUP(T22,'data-sem'!1:1048576,85)</f>
        <v>14232.03790824785</v>
      </c>
      <c r="U104" s="16">
        <f>HLOOKUP(U22,'data-sem'!1:1048576,85)</f>
        <v>14313.959776317715</v>
      </c>
      <c r="V104" s="16">
        <f>HLOOKUP(V22,'data-sem'!1:1048576,85)</f>
        <v>10519.901443278492</v>
      </c>
      <c r="W104" s="16">
        <f>HLOOKUP(W22,'data-sem'!1:1048576,85)</f>
        <v>18727.642583807905</v>
      </c>
      <c r="X104" s="16">
        <f>HLOOKUP(X22,'data-sem'!1:1048576,85)</f>
        <v>9424.2427910283459</v>
      </c>
      <c r="Y104" s="16">
        <f>HLOOKUP(Y22,'data-sem'!1:1048576,85)</f>
        <v>3429.632032982317</v>
      </c>
      <c r="Z104" s="16">
        <f>HLOOKUP(Z22,'data-sem'!1:1048576,85)</f>
        <v>6173.6829562709563</v>
      </c>
    </row>
    <row r="105" spans="1:26" s="19" customFormat="1" x14ac:dyDescent="0.25">
      <c r="A105" s="16" t="s">
        <v>141</v>
      </c>
      <c r="B105" s="16">
        <f>HLOOKUP(B22,'data-sem'!1:1048576,86)</f>
        <v>8330.0020199713872</v>
      </c>
      <c r="C105" s="16">
        <f>HLOOKUP(C22,'data-sem'!1:1048576,86)</f>
        <v>8342.159381923886</v>
      </c>
      <c r="D105" s="16">
        <f>HLOOKUP(D22,'data-sem'!1:1048576,86)</f>
        <v>18408.392242069556</v>
      </c>
      <c r="E105" s="16">
        <f>HLOOKUP(E22,'data-sem'!1:1048576,86)</f>
        <v>4869.5297932550666</v>
      </c>
      <c r="F105" s="16">
        <f>HLOOKUP(F22,'data-sem'!1:1048576,86)</f>
        <v>5587.7630468096004</v>
      </c>
      <c r="G105" s="16">
        <f>HLOOKUP(G22,'data-sem'!1:1048576,86)</f>
        <v>6646.7343890430711</v>
      </c>
      <c r="H105" s="16">
        <f>HLOOKUP(H22,'data-sem'!1:1048576,86)</f>
        <v>6843.0279403069662</v>
      </c>
      <c r="I105" s="16">
        <f>HLOOKUP(I22,'data-sem'!1:1048576,86)</f>
        <v>7826.8919452905066</v>
      </c>
      <c r="J105" s="16">
        <f>HLOOKUP(J22,'data-sem'!1:1048576,86)</f>
        <v>7729.1859930423925</v>
      </c>
      <c r="K105" s="16">
        <f>HLOOKUP(K22,'data-sem'!1:1048576,86)</f>
        <v>6953.9586841381206</v>
      </c>
      <c r="L105" s="16">
        <f>HLOOKUP(L22,'data-sem'!1:1048576,86)</f>
        <v>11864.593716468853</v>
      </c>
      <c r="M105" s="16">
        <f>HLOOKUP(M22,'data-sem'!1:1048576,86)</f>
        <v>7160.3257128489222</v>
      </c>
      <c r="N105" s="16">
        <f>HLOOKUP(N22,'data-sem'!1:1048576,86)</f>
        <v>7700.748563631827</v>
      </c>
      <c r="O105" s="16">
        <f>HLOOKUP(O22,'data-sem'!1:1048576,86)</f>
        <v>9254.8366799111427</v>
      </c>
      <c r="P105" s="16">
        <f>HLOOKUP(P22,'data-sem'!1:1048576,86)</f>
        <v>5148.2820535785231</v>
      </c>
      <c r="Q105" s="16">
        <f>HLOOKUP(Q22,'data-sem'!1:1048576,86)</f>
        <v>6273.1562436132626</v>
      </c>
      <c r="R105" s="16">
        <f>HLOOKUP(R22,'data-sem'!1:1048576,86)</f>
        <v>8366.3057813096566</v>
      </c>
      <c r="S105" s="16">
        <f>HLOOKUP(S22,'data-sem'!1:1048576,86)</f>
        <v>8888.4453252572057</v>
      </c>
      <c r="T105" s="16">
        <f>HLOOKUP(T22,'data-sem'!1:1048576,86)</f>
        <v>12347.582867272351</v>
      </c>
      <c r="U105" s="16">
        <f>HLOOKUP(U22,'data-sem'!1:1048576,86)</f>
        <v>12368.58932892584</v>
      </c>
      <c r="V105" s="16">
        <f>HLOOKUP(V22,'data-sem'!1:1048576,86)</f>
        <v>13516.942817253946</v>
      </c>
      <c r="W105" s="16">
        <f>HLOOKUP(W22,'data-sem'!1:1048576,86)</f>
        <v>18421.35484806641</v>
      </c>
      <c r="X105" s="16">
        <f>HLOOKUP(X22,'data-sem'!1:1048576,86)</f>
        <v>9819.457573208485</v>
      </c>
      <c r="Y105" s="16">
        <f>HLOOKUP(Y22,'data-sem'!1:1048576,86)</f>
        <v>6555.5300577848348</v>
      </c>
      <c r="Z105" s="16">
        <f>HLOOKUP(Z22,'data-sem'!1:1048576,86)</f>
        <v>6153.9525520153766</v>
      </c>
    </row>
    <row r="107" spans="1:26" x14ac:dyDescent="0.25">
      <c r="A107" s="1" t="s">
        <v>148</v>
      </c>
      <c r="B107" s="16">
        <f>HLOOKUP(B22,'data-sem'!1:1048576,89)</f>
        <v>1332.497982797762</v>
      </c>
      <c r="C107" s="16">
        <f>HLOOKUP(C22,'data-sem'!1:1048576,89)</f>
        <v>1404.8225737656426</v>
      </c>
      <c r="D107" s="16">
        <f>HLOOKUP(D22,'data-sem'!1:1048576,89)</f>
        <v>1212.7444003056335</v>
      </c>
      <c r="E107" s="16">
        <f>HLOOKUP(E22,'data-sem'!1:1048576,89)</f>
        <v>1134.7679608714052</v>
      </c>
      <c r="F107" s="16">
        <f>HLOOKUP(F22,'data-sem'!1:1048576,89)</f>
        <v>2000.0804030030633</v>
      </c>
      <c r="G107" s="16">
        <f>HLOOKUP(G22,'data-sem'!1:1048576,89)</f>
        <v>978.61938400027498</v>
      </c>
      <c r="H107" s="16">
        <f>HLOOKUP(H22,'data-sem'!1:1048576,89)</f>
        <v>1379.8450087772785</v>
      </c>
      <c r="I107" s="16">
        <f>HLOOKUP(I22,'data-sem'!1:1048576,89)</f>
        <v>1055.591433824939</v>
      </c>
      <c r="J107" s="16">
        <f>HLOOKUP(J22,'data-sem'!1:1048576,89)</f>
        <v>2417.1130243487919</v>
      </c>
      <c r="K107" s="16">
        <f>HLOOKUP(K22,'data-sem'!1:1048576,89)</f>
        <v>398.35366403930277</v>
      </c>
      <c r="L107" s="16">
        <f>HLOOKUP(L22,'data-sem'!1:1048576,89)</f>
        <v>1186.9642492374796</v>
      </c>
      <c r="M107" s="16">
        <f>HLOOKUP(M22,'data-sem'!1:1048576,89)</f>
        <v>928.24763544939651</v>
      </c>
      <c r="N107" s="16">
        <f>HLOOKUP(N22,'data-sem'!1:1048576,89)</f>
        <v>1131.853915620871</v>
      </c>
      <c r="O107" s="16">
        <f>HLOOKUP(O22,'data-sem'!1:1048576,89)</f>
        <v>2082.4989718531356</v>
      </c>
      <c r="P107" s="16">
        <f>HLOOKUP(P22,'data-sem'!1:1048576,89)</f>
        <v>848.46563494987458</v>
      </c>
      <c r="Q107" s="16">
        <f>HLOOKUP(Q22,'data-sem'!1:1048576,89)</f>
        <v>1067.4804322268078</v>
      </c>
      <c r="R107" s="16">
        <f>HLOOKUP(R22,'data-sem'!1:1048576,89)</f>
        <v>1596.45876738889</v>
      </c>
      <c r="S107" s="16">
        <f>HLOOKUP(S22,'data-sem'!1:1048576,89)</f>
        <v>707.36968722833035</v>
      </c>
      <c r="T107" s="16">
        <f>HLOOKUP(T22,'data-sem'!1:1048576,89)</f>
        <v>1608.2387246415296</v>
      </c>
      <c r="U107" s="16">
        <f>HLOOKUP(U22,'data-sem'!1:1048576,89)</f>
        <v>1577.7105462711104</v>
      </c>
      <c r="V107" s="16">
        <f>HLOOKUP(V22,'data-sem'!1:1048576,89)</f>
        <v>1150.7479671306658</v>
      </c>
      <c r="W107" s="16">
        <f>HLOOKUP(W22,'data-sem'!1:1048576,89)</f>
        <v>1023.9509921595313</v>
      </c>
      <c r="X107" s="16">
        <f>HLOOKUP(X22,'data-sem'!1:1048576,89)</f>
        <v>1009.1915646617805</v>
      </c>
      <c r="Y107" s="16">
        <f>HLOOKUP(Y22,'data-sem'!1:1048576,89)</f>
        <v>1078.8781653987787</v>
      </c>
      <c r="Z107" s="16">
        <f>HLOOKUP(Z22,'data-sem'!1:1048576,89)</f>
        <v>1112.1487269550316</v>
      </c>
    </row>
    <row r="112" spans="1:26" x14ac:dyDescent="0.25">
      <c r="A112" s="64" t="s">
        <v>124</v>
      </c>
    </row>
    <row r="115" spans="1:1" ht="18.75" x14ac:dyDescent="0.3">
      <c r="A115" s="107" t="s">
        <v>186</v>
      </c>
    </row>
    <row r="116" spans="1:1" x14ac:dyDescent="0.25">
      <c r="A116" s="106" t="s">
        <v>187</v>
      </c>
    </row>
  </sheetData>
  <hyperlinks>
    <hyperlink ref="A116" r:id="rId1"/>
  </hyperlinks>
  <pageMargins left="0.7" right="0.7" top="0.78740157499999996" bottom="0.78740157499999996" header="0.3" footer="0.3"/>
  <pageSetup paperSize="9" orientation="portrait" verticalDpi="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AI94"/>
  <sheetViews>
    <sheetView zoomScaleNormal="100" workbookViewId="0">
      <pane xSplit="1" topLeftCell="U1" activePane="topRight" state="frozen"/>
      <selection pane="topRight" activeCell="AH2" sqref="AH2"/>
    </sheetView>
  </sheetViews>
  <sheetFormatPr defaultRowHeight="15" x14ac:dyDescent="0.25"/>
  <cols>
    <col min="1" max="1" width="18.5703125" style="90" customWidth="1"/>
    <col min="2" max="29" width="13.7109375" style="90" customWidth="1"/>
    <col min="30" max="30" width="13" style="90" customWidth="1"/>
    <col min="31" max="31" width="12" style="90" customWidth="1"/>
    <col min="32" max="32" width="13.7109375" style="90" customWidth="1"/>
    <col min="33" max="33" width="13.5703125" style="90" customWidth="1"/>
    <col min="34" max="34" width="15.7109375" style="90" customWidth="1"/>
    <col min="35" max="35" width="13.5703125" style="90" customWidth="1"/>
    <col min="36" max="16384" width="9.140625" style="90"/>
  </cols>
  <sheetData>
    <row r="1" spans="1:35" s="97" customFormat="1" x14ac:dyDescent="0.25">
      <c r="A1" s="95"/>
      <c r="B1" s="96" t="s">
        <v>31</v>
      </c>
      <c r="C1" s="96" t="s">
        <v>30</v>
      </c>
      <c r="D1" s="96" t="s">
        <v>29</v>
      </c>
      <c r="E1" s="96" t="s">
        <v>28</v>
      </c>
      <c r="F1" s="96" t="s">
        <v>27</v>
      </c>
      <c r="G1" s="96" t="s">
        <v>26</v>
      </c>
      <c r="H1" s="96" t="s">
        <v>25</v>
      </c>
      <c r="I1" s="96" t="s">
        <v>24</v>
      </c>
      <c r="J1" s="96" t="s">
        <v>23</v>
      </c>
      <c r="K1" s="96" t="s">
        <v>22</v>
      </c>
      <c r="L1" s="96" t="s">
        <v>21</v>
      </c>
      <c r="M1" s="96" t="s">
        <v>20</v>
      </c>
      <c r="N1" s="96" t="s">
        <v>19</v>
      </c>
      <c r="O1" s="96" t="s">
        <v>18</v>
      </c>
      <c r="P1" s="96" t="s">
        <v>17</v>
      </c>
      <c r="Q1" s="96" t="s">
        <v>16</v>
      </c>
      <c r="R1" s="96" t="s">
        <v>15</v>
      </c>
      <c r="S1" s="96" t="s">
        <v>14</v>
      </c>
      <c r="T1" s="96" t="s">
        <v>13</v>
      </c>
      <c r="U1" s="96" t="s">
        <v>12</v>
      </c>
      <c r="V1" s="96" t="s">
        <v>11</v>
      </c>
      <c r="W1" s="96" t="s">
        <v>10</v>
      </c>
      <c r="X1" s="96" t="s">
        <v>9</v>
      </c>
      <c r="Y1" s="96" t="s">
        <v>8</v>
      </c>
      <c r="Z1" s="96" t="s">
        <v>7</v>
      </c>
      <c r="AA1" s="96" t="s">
        <v>6</v>
      </c>
      <c r="AB1" s="96" t="s">
        <v>5</v>
      </c>
      <c r="AC1" s="96" t="s">
        <v>4</v>
      </c>
      <c r="AD1" s="96" t="s">
        <v>123</v>
      </c>
      <c r="AE1" s="96" t="s">
        <v>147</v>
      </c>
      <c r="AF1" s="96" t="s">
        <v>172</v>
      </c>
      <c r="AG1" s="96" t="s">
        <v>173</v>
      </c>
      <c r="AH1" s="96" t="s">
        <v>176</v>
      </c>
      <c r="AI1" s="96" t="s">
        <v>185</v>
      </c>
    </row>
    <row r="2" spans="1:35" x14ac:dyDescent="0.25">
      <c r="A2" s="89" t="s">
        <v>0</v>
      </c>
      <c r="B2" s="98">
        <f>B8+B25+B38+B43+B48+B65+B70</f>
        <v>363908.09245756606</v>
      </c>
      <c r="C2" s="98">
        <f t="shared" ref="C2:AH2" si="0">C8+C25+C38+C43+C48+C65+C70</f>
        <v>215448.27881368075</v>
      </c>
      <c r="D2" s="98">
        <f t="shared" si="0"/>
        <v>267575.24853826832</v>
      </c>
      <c r="E2" s="98">
        <f t="shared" si="0"/>
        <v>227834.30046520417</v>
      </c>
      <c r="F2" s="98">
        <f t="shared" si="0"/>
        <v>262151.38565287553</v>
      </c>
      <c r="G2" s="98">
        <f t="shared" si="0"/>
        <v>243840.1541843309</v>
      </c>
      <c r="H2" s="98">
        <f t="shared" si="0"/>
        <v>179774.90661276568</v>
      </c>
      <c r="I2" s="98">
        <f t="shared" si="0"/>
        <v>249305.72395116324</v>
      </c>
      <c r="J2" s="98">
        <f t="shared" si="0"/>
        <v>259182.99575822023</v>
      </c>
      <c r="K2" s="98">
        <f t="shared" si="0"/>
        <v>312937.82923610043</v>
      </c>
      <c r="L2" s="98">
        <f t="shared" si="0"/>
        <v>282799.20436451142</v>
      </c>
      <c r="M2" s="98">
        <f t="shared" si="0"/>
        <v>359408.82739005343</v>
      </c>
      <c r="N2" s="98">
        <f t="shared" si="0"/>
        <v>294964.13362251525</v>
      </c>
      <c r="O2" s="98">
        <f t="shared" si="0"/>
        <v>340700.16779380722</v>
      </c>
      <c r="P2" s="98">
        <f t="shared" si="0"/>
        <v>293408.45393242186</v>
      </c>
      <c r="Q2" s="98">
        <f t="shared" si="0"/>
        <v>247288.25782432366</v>
      </c>
      <c r="R2" s="98">
        <f t="shared" si="0"/>
        <v>262486.25861623732</v>
      </c>
      <c r="S2" s="98">
        <f t="shared" si="0"/>
        <v>258127.52860899371</v>
      </c>
      <c r="T2" s="98">
        <f t="shared" si="0"/>
        <v>228412.62486512095</v>
      </c>
      <c r="U2" s="98">
        <f t="shared" si="0"/>
        <v>211783.96122869905</v>
      </c>
      <c r="V2" s="98">
        <f t="shared" si="0"/>
        <v>219079.55931454146</v>
      </c>
      <c r="W2" s="98">
        <f t="shared" si="0"/>
        <v>275706.10255108646</v>
      </c>
      <c r="X2" s="98">
        <f t="shared" si="0"/>
        <v>329350.95249983104</v>
      </c>
      <c r="Y2" s="98">
        <f t="shared" si="0"/>
        <v>309457.89869520633</v>
      </c>
      <c r="Z2" s="98">
        <f t="shared" si="0"/>
        <v>302334.57145454793</v>
      </c>
      <c r="AA2" s="98">
        <f t="shared" si="0"/>
        <v>202099.70883003296</v>
      </c>
      <c r="AB2" s="98">
        <f t="shared" si="0"/>
        <v>224330.26516402839</v>
      </c>
      <c r="AC2" s="98">
        <f t="shared" si="0"/>
        <v>253551.3786209414</v>
      </c>
      <c r="AD2" s="98">
        <f t="shared" si="0"/>
        <v>272171.6258886978</v>
      </c>
      <c r="AE2" s="98">
        <f t="shared" si="0"/>
        <v>253388.1492576765</v>
      </c>
      <c r="AF2" s="98">
        <f t="shared" si="0"/>
        <v>300977.29365931422</v>
      </c>
      <c r="AG2" s="98">
        <f t="shared" si="0"/>
        <v>273927.20323677547</v>
      </c>
      <c r="AH2" s="98">
        <f t="shared" si="0"/>
        <v>236874.19029893522</v>
      </c>
    </row>
    <row r="3" spans="1:35" x14ac:dyDescent="0.25">
      <c r="A3" s="89" t="s">
        <v>1</v>
      </c>
      <c r="B3" s="98">
        <f>B9+B26+B39+B44+B49+B66+B71</f>
        <v>4754.4679970829438</v>
      </c>
      <c r="C3" s="98">
        <f t="shared" ref="C3:AH3" si="1">C9+C26+C39+C44+C49+C66+C71</f>
        <v>3735.8799895847524</v>
      </c>
      <c r="D3" s="98">
        <f t="shared" si="1"/>
        <v>5238.2690645846051</v>
      </c>
      <c r="E3" s="98">
        <f t="shared" si="1"/>
        <v>3515.4701171740589</v>
      </c>
      <c r="F3" s="98">
        <f t="shared" si="1"/>
        <v>3983.2498555180832</v>
      </c>
      <c r="G3" s="98">
        <f t="shared" si="1"/>
        <v>4579.1782728444368</v>
      </c>
      <c r="H3" s="98">
        <f t="shared" si="1"/>
        <v>3568.6477581210306</v>
      </c>
      <c r="I3" s="98">
        <f t="shared" si="1"/>
        <v>3450.9799837686533</v>
      </c>
      <c r="J3" s="98">
        <f t="shared" si="1"/>
        <v>4196.5432271161799</v>
      </c>
      <c r="K3" s="98">
        <f t="shared" si="1"/>
        <v>5880.3301163259484</v>
      </c>
      <c r="L3" s="98">
        <f t="shared" si="1"/>
        <v>6174.6797286259871</v>
      </c>
      <c r="M3" s="98">
        <f t="shared" si="1"/>
        <v>8076.0450361772819</v>
      </c>
      <c r="N3" s="98">
        <f t="shared" si="1"/>
        <v>5739.6203549920083</v>
      </c>
      <c r="O3" s="98">
        <f t="shared" si="1"/>
        <v>4664.2789572305037</v>
      </c>
      <c r="P3" s="98">
        <f t="shared" si="1"/>
        <v>4099.2263776107484</v>
      </c>
      <c r="Q3" s="98">
        <f t="shared" si="1"/>
        <v>3576.7472171729246</v>
      </c>
      <c r="R3" s="98">
        <f t="shared" si="1"/>
        <v>4795.0268465030531</v>
      </c>
      <c r="S3" s="98">
        <f t="shared" si="1"/>
        <v>4526.0366671382435</v>
      </c>
      <c r="T3" s="98">
        <f t="shared" si="1"/>
        <v>4317.0639671233203</v>
      </c>
      <c r="U3" s="98">
        <f t="shared" si="1"/>
        <v>4371.5635288850626</v>
      </c>
      <c r="V3" s="98">
        <f t="shared" si="1"/>
        <v>3357.4838358702168</v>
      </c>
      <c r="W3" s="98">
        <f t="shared" si="1"/>
        <v>5613.5092584437134</v>
      </c>
      <c r="X3" s="98">
        <f t="shared" si="1"/>
        <v>5802.2784283342462</v>
      </c>
      <c r="Y3" s="98">
        <f t="shared" si="1"/>
        <v>6498.0563986963762</v>
      </c>
      <c r="Z3" s="98">
        <f t="shared" si="1"/>
        <v>4647.2899155403893</v>
      </c>
      <c r="AA3" s="98">
        <f t="shared" si="1"/>
        <v>3691.8293032904539</v>
      </c>
      <c r="AB3" s="98">
        <f t="shared" si="1"/>
        <v>4116.2655511659786</v>
      </c>
      <c r="AC3" s="98">
        <f t="shared" si="1"/>
        <v>4637.1529333406843</v>
      </c>
      <c r="AD3" s="98">
        <f t="shared" si="1"/>
        <v>4139.253368002931</v>
      </c>
      <c r="AE3" s="98">
        <f t="shared" si="1"/>
        <v>4291.2784544376391</v>
      </c>
      <c r="AF3" s="98">
        <f t="shared" si="1"/>
        <v>5975.6024233546095</v>
      </c>
      <c r="AG3" s="98">
        <f t="shared" si="1"/>
        <v>4013.3592037143926</v>
      </c>
      <c r="AH3" s="98">
        <f t="shared" si="1"/>
        <v>4030.3621809508832</v>
      </c>
    </row>
    <row r="4" spans="1:35" x14ac:dyDescent="0.25">
      <c r="A4" s="89" t="s">
        <v>3</v>
      </c>
      <c r="B4" s="99">
        <f t="shared" ref="B4" si="2">B3/B2</f>
        <v>1.3065024097086668E-2</v>
      </c>
      <c r="C4" s="99">
        <f t="shared" ref="C4:AH4" si="3">C3/C2</f>
        <v>1.7340031724345006E-2</v>
      </c>
      <c r="D4" s="99">
        <f t="shared" si="3"/>
        <v>1.9576807246562022E-2</v>
      </c>
      <c r="E4" s="99">
        <f t="shared" si="3"/>
        <v>1.5429942330878122E-2</v>
      </c>
      <c r="F4" s="99">
        <f t="shared" si="3"/>
        <v>1.5194464242857192E-2</v>
      </c>
      <c r="G4" s="99">
        <f t="shared" si="3"/>
        <v>1.8779426580344139E-2</v>
      </c>
      <c r="H4" s="99">
        <f t="shared" si="3"/>
        <v>1.9850644482924867E-2</v>
      </c>
      <c r="I4" s="99">
        <f t="shared" si="3"/>
        <v>1.3842361615590781E-2</v>
      </c>
      <c r="J4" s="99">
        <f t="shared" si="3"/>
        <v>1.6191429591434076E-2</v>
      </c>
      <c r="K4" s="99">
        <f t="shared" si="3"/>
        <v>1.8790729553790856E-2</v>
      </c>
      <c r="L4" s="99">
        <f t="shared" si="3"/>
        <v>2.1834148163540061E-2</v>
      </c>
      <c r="M4" s="99">
        <f t="shared" si="3"/>
        <v>2.247035804552636E-2</v>
      </c>
      <c r="N4" s="99">
        <f t="shared" si="3"/>
        <v>1.9458705994191732E-2</v>
      </c>
      <c r="O4" s="99">
        <f t="shared" si="3"/>
        <v>1.3690274904863972E-2</v>
      </c>
      <c r="P4" s="99">
        <f t="shared" si="3"/>
        <v>1.3971057488871423E-2</v>
      </c>
      <c r="Q4" s="99">
        <f t="shared" si="3"/>
        <v>1.4463878101781466E-2</v>
      </c>
      <c r="R4" s="99">
        <f t="shared" si="3"/>
        <v>1.8267725220288671E-2</v>
      </c>
      <c r="S4" s="99">
        <f t="shared" si="3"/>
        <v>1.7534110722433605E-2</v>
      </c>
      <c r="T4" s="99">
        <f t="shared" si="3"/>
        <v>1.890028613642776E-2</v>
      </c>
      <c r="U4" s="99">
        <f t="shared" si="3"/>
        <v>2.0641617540453617E-2</v>
      </c>
      <c r="V4" s="99">
        <f t="shared" si="3"/>
        <v>1.5325408935343622E-2</v>
      </c>
      <c r="W4" s="99">
        <f t="shared" si="3"/>
        <v>2.0360482435834253E-2</v>
      </c>
      <c r="X4" s="99">
        <f t="shared" si="3"/>
        <v>1.7617311819789629E-2</v>
      </c>
      <c r="Y4" s="99">
        <f t="shared" si="3"/>
        <v>2.0998192083946425E-2</v>
      </c>
      <c r="Z4" s="99">
        <f t="shared" si="3"/>
        <v>1.5371348017469609E-2</v>
      </c>
      <c r="AA4" s="99">
        <f t="shared" si="3"/>
        <v>1.826736577040447E-2</v>
      </c>
      <c r="AB4" s="99">
        <f t="shared" si="3"/>
        <v>1.8349131572399292E-2</v>
      </c>
      <c r="AC4" s="99">
        <f t="shared" si="3"/>
        <v>1.8288809781126115E-2</v>
      </c>
      <c r="AD4" s="99">
        <f t="shared" si="3"/>
        <v>1.5208247202431168E-2</v>
      </c>
      <c r="AE4" s="99">
        <f t="shared" si="3"/>
        <v>1.6935592556358011E-2</v>
      </c>
      <c r="AF4" s="99">
        <f t="shared" si="3"/>
        <v>1.9853997458421511E-2</v>
      </c>
      <c r="AG4" s="99">
        <f t="shared" si="3"/>
        <v>1.4651188915492086E-2</v>
      </c>
      <c r="AH4" s="99">
        <f t="shared" si="3"/>
        <v>1.7014779769229254E-2</v>
      </c>
    </row>
    <row r="5" spans="1:35" x14ac:dyDescent="0.25">
      <c r="A5" s="89" t="s">
        <v>2</v>
      </c>
      <c r="B5" s="100">
        <f>B10+B27+B40+B45+B50+B67+B72</f>
        <v>8541304.3376360461</v>
      </c>
      <c r="C5" s="100">
        <f t="shared" ref="C5:AH5" si="4">C10+C27+C40+C45+C50+C67+C72</f>
        <v>4878689.7625523731</v>
      </c>
      <c r="D5" s="100">
        <f t="shared" si="4"/>
        <v>7224985.9163383618</v>
      </c>
      <c r="E5" s="100">
        <f t="shared" si="4"/>
        <v>7085633.8316710638</v>
      </c>
      <c r="F5" s="100">
        <f t="shared" si="4"/>
        <v>7700278.0807798412</v>
      </c>
      <c r="G5" s="100">
        <f t="shared" si="4"/>
        <v>8507062.831516251</v>
      </c>
      <c r="H5" s="100">
        <f t="shared" si="4"/>
        <v>8796236.8208452538</v>
      </c>
      <c r="I5" s="100">
        <f t="shared" si="4"/>
        <v>5964485.8925504433</v>
      </c>
      <c r="J5" s="100">
        <f t="shared" si="4"/>
        <v>5612646.0578581598</v>
      </c>
      <c r="K5" s="100">
        <f t="shared" si="4"/>
        <v>7072228.8479274716</v>
      </c>
      <c r="L5" s="100">
        <f t="shared" si="4"/>
        <v>7509243.464232482</v>
      </c>
      <c r="M5" s="100">
        <f t="shared" si="4"/>
        <v>7148919.5873548137</v>
      </c>
      <c r="N5" s="100">
        <f t="shared" si="4"/>
        <v>6082847.5399525799</v>
      </c>
      <c r="O5" s="100">
        <f t="shared" si="4"/>
        <v>6929551.8627636638</v>
      </c>
      <c r="P5" s="100">
        <f t="shared" si="4"/>
        <v>8007332.5507222302</v>
      </c>
      <c r="Q5" s="100">
        <f t="shared" si="4"/>
        <v>6060213.5957851447</v>
      </c>
      <c r="R5" s="100">
        <f t="shared" si="4"/>
        <v>6436799.6306412034</v>
      </c>
      <c r="S5" s="100">
        <f t="shared" si="4"/>
        <v>8104093.6022918709</v>
      </c>
      <c r="T5" s="100">
        <f t="shared" si="4"/>
        <v>7273887.0403815582</v>
      </c>
      <c r="U5" s="100">
        <f t="shared" si="4"/>
        <v>6795866.6386971883</v>
      </c>
      <c r="V5" s="100">
        <f t="shared" si="4"/>
        <v>4853668.767344987</v>
      </c>
      <c r="W5" s="100">
        <f t="shared" si="4"/>
        <v>7625258.1607867638</v>
      </c>
      <c r="X5" s="100">
        <f t="shared" si="4"/>
        <v>7870739.3513646908</v>
      </c>
      <c r="Y5" s="100">
        <f t="shared" si="4"/>
        <v>8776518.8460085019</v>
      </c>
      <c r="Z5" s="100">
        <f t="shared" si="4"/>
        <v>7459715.9008394042</v>
      </c>
      <c r="AA5" s="100">
        <f t="shared" si="4"/>
        <v>5362049.4908932131</v>
      </c>
      <c r="AB5" s="100">
        <f t="shared" si="4"/>
        <v>5927628.751073245</v>
      </c>
      <c r="AC5" s="100">
        <f t="shared" si="4"/>
        <v>6888437.3192536756</v>
      </c>
      <c r="AD5" s="100">
        <f t="shared" si="4"/>
        <v>5329917.5062825587</v>
      </c>
      <c r="AE5" s="100">
        <f t="shared" si="4"/>
        <v>5690875.5160267651</v>
      </c>
      <c r="AF5" s="100">
        <f t="shared" si="4"/>
        <v>10117909.344171729</v>
      </c>
      <c r="AG5" s="100">
        <f t="shared" si="4"/>
        <v>8613068.6410574745</v>
      </c>
      <c r="AH5" s="100">
        <f t="shared" si="4"/>
        <v>5732651.6271258974</v>
      </c>
    </row>
    <row r="8" spans="1:35" s="98" customFormat="1" x14ac:dyDescent="0.25">
      <c r="A8" s="101" t="s">
        <v>48</v>
      </c>
      <c r="B8" s="98">
        <v>70192.634739642934</v>
      </c>
      <c r="C8" s="98">
        <v>41338.546983072592</v>
      </c>
      <c r="D8" s="98">
        <v>59926.91126147144</v>
      </c>
      <c r="E8" s="98">
        <v>65303.103761417231</v>
      </c>
      <c r="F8" s="98">
        <v>70756.898680299942</v>
      </c>
      <c r="G8" s="98">
        <v>62565.045580967686</v>
      </c>
      <c r="H8" s="98">
        <v>44546.066703293225</v>
      </c>
      <c r="I8" s="98">
        <v>75490.15829712298</v>
      </c>
      <c r="J8" s="98">
        <v>99656.742747810174</v>
      </c>
      <c r="K8" s="98">
        <v>80064.502495705034</v>
      </c>
      <c r="L8" s="98">
        <v>68371.299986079393</v>
      </c>
      <c r="M8" s="98">
        <v>87449.295353422916</v>
      </c>
      <c r="N8" s="98">
        <v>78103.011569383685</v>
      </c>
      <c r="O8" s="98">
        <v>122182.86486047367</v>
      </c>
      <c r="P8" s="98">
        <v>78205.523463715814</v>
      </c>
      <c r="Q8" s="98">
        <v>86218.631306354539</v>
      </c>
      <c r="R8" s="98">
        <v>80156.218503232725</v>
      </c>
      <c r="S8" s="98">
        <v>80377.725261953587</v>
      </c>
      <c r="T8" s="98">
        <v>82380.737529712598</v>
      </c>
      <c r="U8" s="98">
        <v>53687.036697150113</v>
      </c>
      <c r="V8" s="98">
        <v>70470.322270727906</v>
      </c>
      <c r="W8" s="98">
        <v>80811.045933507135</v>
      </c>
      <c r="X8" s="98">
        <v>99236.506563698524</v>
      </c>
      <c r="Y8" s="98">
        <v>108978.76545963682</v>
      </c>
      <c r="Z8" s="98">
        <v>94297.805145445789</v>
      </c>
      <c r="AA8" s="98">
        <v>79799.250685004503</v>
      </c>
      <c r="AB8" s="98">
        <v>66704.643397366395</v>
      </c>
      <c r="AC8" s="98">
        <v>66959.510983824061</v>
      </c>
      <c r="AD8" s="98">
        <v>90304.186882486058</v>
      </c>
      <c r="AE8" s="98">
        <v>81793.447129666965</v>
      </c>
      <c r="AF8" s="98">
        <v>61163.218020243228</v>
      </c>
      <c r="AG8" s="98">
        <v>67628.705168956119</v>
      </c>
      <c r="AH8" s="98">
        <v>67254.796128580099</v>
      </c>
    </row>
    <row r="9" spans="1:35" s="98" customFormat="1" x14ac:dyDescent="0.25">
      <c r="A9" s="101" t="s">
        <v>49</v>
      </c>
      <c r="B9" s="98">
        <v>962.71838313380226</v>
      </c>
      <c r="C9" s="98">
        <v>887.56457422241533</v>
      </c>
      <c r="D9" s="98">
        <v>1565.699234532367</v>
      </c>
      <c r="E9" s="98">
        <v>1051.3572182358516</v>
      </c>
      <c r="F9" s="98">
        <v>1181.2494572621558</v>
      </c>
      <c r="G9" s="98">
        <v>1464.256652410877</v>
      </c>
      <c r="H9" s="98">
        <v>827.63427743993293</v>
      </c>
      <c r="I9" s="98">
        <v>942.25948746462291</v>
      </c>
      <c r="J9" s="98">
        <v>1338.0217617613312</v>
      </c>
      <c r="K9" s="98">
        <v>915.9311891106297</v>
      </c>
      <c r="L9" s="98">
        <v>2095.2410032518196</v>
      </c>
      <c r="M9" s="98">
        <v>1927.553410986246</v>
      </c>
      <c r="N9" s="98">
        <v>1414.8480396407392</v>
      </c>
      <c r="O9" s="98">
        <v>1386.3539428878303</v>
      </c>
      <c r="P9" s="98">
        <v>1275.1140435702716</v>
      </c>
      <c r="Q9" s="98">
        <v>719.79215071305566</v>
      </c>
      <c r="R9" s="98">
        <v>1662.6518527893645</v>
      </c>
      <c r="S9" s="98">
        <v>1408.5295333702888</v>
      </c>
      <c r="T9" s="98">
        <v>860.54138420940171</v>
      </c>
      <c r="U9" s="98">
        <v>1370.5527258521317</v>
      </c>
      <c r="V9" s="98">
        <v>979.64155944027198</v>
      </c>
      <c r="W9" s="98">
        <v>1012.9135641967874</v>
      </c>
      <c r="X9" s="98">
        <v>1373.5186293758613</v>
      </c>
      <c r="Y9" s="98">
        <v>1613.0355316069208</v>
      </c>
      <c r="Z9" s="98">
        <v>1061.109895990729</v>
      </c>
      <c r="AA9" s="98">
        <v>790.12340249134218</v>
      </c>
      <c r="AB9" s="98">
        <v>1185.5963508377886</v>
      </c>
      <c r="AC9" s="98">
        <v>1783.5372855110354</v>
      </c>
      <c r="AD9" s="98">
        <v>958.53599812406173</v>
      </c>
      <c r="AE9" s="98">
        <v>1277.3881614305601</v>
      </c>
      <c r="AF9" s="98">
        <v>1665.1200265176537</v>
      </c>
      <c r="AG9" s="98">
        <v>1051.1497275018683</v>
      </c>
      <c r="AH9" s="98">
        <v>1171.7634414936463</v>
      </c>
    </row>
    <row r="10" spans="1:35" s="100" customFormat="1" x14ac:dyDescent="0.25">
      <c r="A10" s="102" t="s">
        <v>50</v>
      </c>
      <c r="B10" s="100">
        <v>1536280.50687567</v>
      </c>
      <c r="C10" s="100">
        <v>1075670.0786296572</v>
      </c>
      <c r="D10" s="100">
        <v>1231273.3535696454</v>
      </c>
      <c r="E10" s="100">
        <v>1680097.9076861141</v>
      </c>
      <c r="F10" s="100">
        <v>2342425.909565723</v>
      </c>
      <c r="G10" s="100">
        <v>2490978.4558843928</v>
      </c>
      <c r="H10" s="100">
        <v>2501987.089298279</v>
      </c>
      <c r="I10" s="100">
        <v>1563125.8761573231</v>
      </c>
      <c r="J10" s="100">
        <v>1625663.6408115267</v>
      </c>
      <c r="K10" s="100">
        <v>1476812.2069699597</v>
      </c>
      <c r="L10" s="100">
        <v>1803935.2482572517</v>
      </c>
      <c r="M10" s="100">
        <v>1425163.8791495946</v>
      </c>
      <c r="N10" s="100">
        <v>1133553.058618366</v>
      </c>
      <c r="O10" s="100">
        <v>1199037.2484804031</v>
      </c>
      <c r="P10" s="100">
        <v>1115182.8012782668</v>
      </c>
      <c r="Q10" s="100">
        <v>1354646.5326466509</v>
      </c>
      <c r="R10" s="100">
        <v>1865146.9898658099</v>
      </c>
      <c r="S10" s="100">
        <v>2322866.5389582659</v>
      </c>
      <c r="T10" s="100">
        <v>2168274.4024570547</v>
      </c>
      <c r="U10" s="100">
        <v>2280523.1246861676</v>
      </c>
      <c r="V10" s="100">
        <v>1128459.8917390101</v>
      </c>
      <c r="W10" s="100">
        <v>1704582.2476397217</v>
      </c>
      <c r="X10" s="100">
        <v>2407538.3640369996</v>
      </c>
      <c r="Y10" s="100">
        <v>2556754.3949674726</v>
      </c>
      <c r="Z10" s="100">
        <v>2275561.142202056</v>
      </c>
      <c r="AA10" s="100">
        <v>1589456.4469352737</v>
      </c>
      <c r="AB10" s="100">
        <v>1346859.6555919629</v>
      </c>
      <c r="AC10" s="100">
        <v>1339163.7570281446</v>
      </c>
      <c r="AD10" s="100">
        <v>1227276.4406480754</v>
      </c>
      <c r="AE10" s="100">
        <v>1356767.0104299367</v>
      </c>
      <c r="AF10" s="100">
        <v>2315645.9019208914</v>
      </c>
      <c r="AG10" s="100">
        <v>2084450.0059375125</v>
      </c>
      <c r="AH10" s="100">
        <v>1741411.3256157408</v>
      </c>
    </row>
    <row r="11" spans="1:35" s="103" customFormat="1" x14ac:dyDescent="0.25"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</row>
    <row r="12" spans="1:35" s="98" customFormat="1" x14ac:dyDescent="0.25">
      <c r="A12" s="101" t="s">
        <v>52</v>
      </c>
      <c r="B12" s="98">
        <v>26370.836457107693</v>
      </c>
      <c r="C12" s="98">
        <v>27887.875550604913</v>
      </c>
      <c r="D12" s="98">
        <v>39220.709754486052</v>
      </c>
      <c r="E12" s="98">
        <v>26074.55377377438</v>
      </c>
      <c r="F12" s="98">
        <v>34936.485039000756</v>
      </c>
      <c r="G12" s="98">
        <v>41429.672981662821</v>
      </c>
      <c r="H12" s="98">
        <v>33479.332834830166</v>
      </c>
      <c r="I12" s="98">
        <v>31866.436440476074</v>
      </c>
      <c r="J12" s="98">
        <v>36371.899265270185</v>
      </c>
      <c r="K12" s="98">
        <v>42174.597653197518</v>
      </c>
      <c r="L12" s="98">
        <v>56795.45913710304</v>
      </c>
      <c r="M12" s="98">
        <v>31764.742724966694</v>
      </c>
      <c r="N12" s="98">
        <v>42223.129782658245</v>
      </c>
      <c r="O12" s="98">
        <v>40833.273183534358</v>
      </c>
      <c r="P12" s="98">
        <v>39083.104402019424</v>
      </c>
      <c r="Q12" s="98">
        <v>40850.38633385572</v>
      </c>
      <c r="R12" s="98">
        <v>43730.759480641012</v>
      </c>
      <c r="S12" s="98">
        <v>36947.419737551892</v>
      </c>
      <c r="T12" s="98">
        <v>32674.710874757919</v>
      </c>
      <c r="U12" s="98">
        <v>37827.508540433249</v>
      </c>
      <c r="V12" s="98">
        <v>39970.002038334176</v>
      </c>
      <c r="W12" s="98">
        <v>44510.914360256436</v>
      </c>
      <c r="X12" s="98">
        <v>35818.886019608632</v>
      </c>
      <c r="Y12" s="98">
        <v>38119.343199676805</v>
      </c>
      <c r="Z12" s="98">
        <v>37794.843836497777</v>
      </c>
      <c r="AA12" s="98">
        <v>36158.346276363045</v>
      </c>
      <c r="AB12" s="98">
        <v>23502.837087973061</v>
      </c>
      <c r="AC12" s="98">
        <v>28331.392652258281</v>
      </c>
      <c r="AD12" s="98">
        <v>32075.194875703433</v>
      </c>
      <c r="AE12" s="98">
        <v>19551.392041956769</v>
      </c>
      <c r="AF12" s="98">
        <v>29031.38158930614</v>
      </c>
      <c r="AG12" s="98">
        <v>32549.001683172672</v>
      </c>
      <c r="AH12" s="98">
        <v>29616.422423864828</v>
      </c>
    </row>
    <row r="13" spans="1:35" s="98" customFormat="1" x14ac:dyDescent="0.25">
      <c r="A13" s="101" t="s">
        <v>53</v>
      </c>
      <c r="B13" s="98">
        <v>361.86750506732056</v>
      </c>
      <c r="C13" s="98">
        <v>438.83453836676046</v>
      </c>
      <c r="D13" s="98">
        <v>586.67098947365173</v>
      </c>
      <c r="E13" s="98">
        <v>552.66882487257681</v>
      </c>
      <c r="F13" s="98">
        <v>539.98793959650732</v>
      </c>
      <c r="G13" s="98">
        <v>395.12771122144818</v>
      </c>
      <c r="H13" s="98">
        <v>545.65817346305232</v>
      </c>
      <c r="I13" s="98">
        <v>407.52996579635266</v>
      </c>
      <c r="J13" s="98">
        <v>312.27136334796802</v>
      </c>
      <c r="K13" s="98">
        <v>803.03793372639677</v>
      </c>
      <c r="L13" s="98">
        <v>953.93457760026661</v>
      </c>
      <c r="M13" s="98">
        <v>698.87046447742682</v>
      </c>
      <c r="N13" s="98">
        <v>469.64694247290015</v>
      </c>
      <c r="O13" s="98">
        <v>604.37452091192597</v>
      </c>
      <c r="P13" s="98">
        <v>517.00101346691201</v>
      </c>
      <c r="Q13" s="98">
        <v>460.42121892693876</v>
      </c>
      <c r="R13" s="98">
        <v>479.90424440848398</v>
      </c>
      <c r="S13" s="98">
        <v>404.79507246743401</v>
      </c>
      <c r="T13" s="98">
        <v>489.41956963871894</v>
      </c>
      <c r="U13" s="98">
        <v>412.826723496292</v>
      </c>
      <c r="V13" s="98">
        <v>307.81312119108958</v>
      </c>
      <c r="W13" s="98">
        <v>426.77481155562458</v>
      </c>
      <c r="X13" s="98">
        <v>650.68533749846404</v>
      </c>
      <c r="Y13" s="98">
        <v>696.54814858132522</v>
      </c>
      <c r="Z13" s="98">
        <v>322.66226855859054</v>
      </c>
      <c r="AA13" s="98">
        <v>430.71139987196977</v>
      </c>
      <c r="AB13" s="98">
        <v>538.99403504191309</v>
      </c>
      <c r="AC13" s="98">
        <v>548.53276364855606</v>
      </c>
      <c r="AD13" s="98">
        <v>504.18671234746733</v>
      </c>
      <c r="AE13" s="98">
        <v>300.19255251962494</v>
      </c>
      <c r="AF13" s="98">
        <v>333.49058720044764</v>
      </c>
      <c r="AG13" s="98">
        <v>442.87367682849441</v>
      </c>
      <c r="AH13" s="98">
        <v>530.03943989809648</v>
      </c>
    </row>
    <row r="14" spans="1:35" s="100" customFormat="1" x14ac:dyDescent="0.25">
      <c r="A14" s="102" t="s">
        <v>54</v>
      </c>
      <c r="B14" s="100">
        <v>494478.1500312984</v>
      </c>
      <c r="C14" s="100">
        <v>800369.03353533219</v>
      </c>
      <c r="D14" s="100">
        <v>797102.33203109121</v>
      </c>
      <c r="E14" s="100">
        <v>799202.89195626171</v>
      </c>
      <c r="F14" s="100">
        <v>843199.85842168401</v>
      </c>
      <c r="G14" s="100">
        <v>946603.57547035208</v>
      </c>
      <c r="H14" s="100">
        <v>855791.46985548059</v>
      </c>
      <c r="I14" s="100">
        <v>787689.76880543469</v>
      </c>
      <c r="J14" s="100">
        <v>571130.69065419049</v>
      </c>
      <c r="K14" s="100">
        <v>898686.31734889711</v>
      </c>
      <c r="L14" s="100">
        <v>881114.27476319484</v>
      </c>
      <c r="M14" s="100">
        <v>579597.41992592893</v>
      </c>
      <c r="N14" s="100">
        <v>587205.35424004123</v>
      </c>
      <c r="O14" s="100">
        <v>609886.78906661074</v>
      </c>
      <c r="P14" s="100">
        <v>592513.68476084224</v>
      </c>
      <c r="Q14" s="100">
        <v>400427.06250086694</v>
      </c>
      <c r="R14" s="100">
        <v>792915.33118729806</v>
      </c>
      <c r="S14" s="100">
        <v>534996.10740287381</v>
      </c>
      <c r="T14" s="100">
        <v>622966.23709322442</v>
      </c>
      <c r="U14" s="100">
        <v>722351.81904963462</v>
      </c>
      <c r="V14" s="100">
        <v>674108.38589499635</v>
      </c>
      <c r="W14" s="100">
        <v>551582.30315182277</v>
      </c>
      <c r="X14" s="100">
        <v>1032652.1276806027</v>
      </c>
      <c r="Y14" s="100">
        <v>814154.25233620009</v>
      </c>
      <c r="Z14" s="100">
        <v>647006.60661338468</v>
      </c>
      <c r="AA14" s="100">
        <v>782116.96797166998</v>
      </c>
      <c r="AB14" s="100">
        <v>690735.03749814595</v>
      </c>
      <c r="AC14" s="100">
        <v>743074.31636398879</v>
      </c>
      <c r="AD14" s="100">
        <v>521495.64975364169</v>
      </c>
      <c r="AE14" s="100">
        <v>574593.35968778038</v>
      </c>
      <c r="AF14" s="100">
        <v>935273.65733336122</v>
      </c>
      <c r="AG14" s="100">
        <v>801157.47897449206</v>
      </c>
      <c r="AH14" s="100">
        <v>708702.74003210186</v>
      </c>
    </row>
    <row r="15" spans="1:35" s="103" customFormat="1" x14ac:dyDescent="0.25"/>
    <row r="16" spans="1:35" s="98" customFormat="1" x14ac:dyDescent="0.25">
      <c r="A16" s="98" t="s">
        <v>56</v>
      </c>
      <c r="B16" s="98">
        <v>38306.959569635641</v>
      </c>
      <c r="C16" s="98">
        <v>35460.13144591012</v>
      </c>
      <c r="D16" s="98">
        <v>35898.90181145064</v>
      </c>
      <c r="E16" s="98">
        <v>31330.670569152084</v>
      </c>
      <c r="F16" s="98">
        <v>27312.511427753358</v>
      </c>
      <c r="G16" s="98">
        <v>32267.735250001169</v>
      </c>
      <c r="H16" s="98">
        <v>25482.407609123715</v>
      </c>
      <c r="I16" s="98">
        <v>32186.094779857238</v>
      </c>
      <c r="J16" s="98">
        <v>44929.727676830684</v>
      </c>
      <c r="K16" s="98">
        <v>53731.594009325476</v>
      </c>
      <c r="L16" s="98">
        <v>37736.650128586145</v>
      </c>
      <c r="M16" s="98">
        <v>36385.597457245036</v>
      </c>
      <c r="N16" s="98">
        <v>47527.826231162449</v>
      </c>
      <c r="O16" s="98">
        <v>57216.33014911873</v>
      </c>
      <c r="P16" s="98">
        <v>46821.878413063489</v>
      </c>
      <c r="Q16" s="98">
        <v>35725.37721434555</v>
      </c>
      <c r="R16" s="98">
        <v>42652.142615861812</v>
      </c>
      <c r="S16" s="98">
        <v>56496.57693635075</v>
      </c>
      <c r="T16" s="98">
        <v>47856.471314904964</v>
      </c>
      <c r="U16" s="98">
        <v>35079.689346529944</v>
      </c>
      <c r="V16" s="98">
        <v>54597.570553932397</v>
      </c>
      <c r="W16" s="98">
        <v>60224.043145257725</v>
      </c>
      <c r="X16" s="98">
        <v>46812.041393181506</v>
      </c>
      <c r="Y16" s="98">
        <v>60447.00571151152</v>
      </c>
      <c r="Z16" s="98">
        <v>40752.260423004933</v>
      </c>
      <c r="AA16" s="98">
        <v>43034.443837203893</v>
      </c>
      <c r="AB16" s="98">
        <v>36681.91146149463</v>
      </c>
      <c r="AC16" s="98">
        <v>49514.863535617347</v>
      </c>
      <c r="AD16" s="98">
        <v>37239.28164198366</v>
      </c>
      <c r="AE16" s="98">
        <v>37089.626020999334</v>
      </c>
      <c r="AF16" s="98">
        <v>37986.100247506627</v>
      </c>
      <c r="AG16" s="98">
        <v>55655.555731890832</v>
      </c>
      <c r="AH16" s="98">
        <v>45050.98840645561</v>
      </c>
    </row>
    <row r="17" spans="1:34" s="98" customFormat="1" x14ac:dyDescent="0.25">
      <c r="A17" s="98" t="s">
        <v>57</v>
      </c>
      <c r="B17" s="98">
        <v>431.28359166384496</v>
      </c>
      <c r="C17" s="98">
        <v>317.48581833203775</v>
      </c>
      <c r="D17" s="98">
        <v>420.70142698000825</v>
      </c>
      <c r="E17" s="98">
        <v>576.37837308678581</v>
      </c>
      <c r="F17" s="98">
        <v>801.42365360774329</v>
      </c>
      <c r="G17" s="98">
        <v>753.02723875169602</v>
      </c>
      <c r="H17" s="98">
        <v>541.13830879523141</v>
      </c>
      <c r="I17" s="98">
        <v>667.77489213269803</v>
      </c>
      <c r="J17" s="98">
        <v>423.31570278884442</v>
      </c>
      <c r="K17" s="98">
        <v>683.27831161861616</v>
      </c>
      <c r="L17" s="98">
        <v>1095.12523503437</v>
      </c>
      <c r="M17" s="98">
        <v>883.61086450138225</v>
      </c>
      <c r="N17" s="98">
        <v>565.59961203166711</v>
      </c>
      <c r="O17" s="98">
        <v>687.0382586416714</v>
      </c>
      <c r="P17" s="98">
        <v>526.41410950941963</v>
      </c>
      <c r="Q17" s="98">
        <v>790.96269260999304</v>
      </c>
      <c r="R17" s="98">
        <v>576.22727051436891</v>
      </c>
      <c r="S17" s="98">
        <v>529.67977641141351</v>
      </c>
      <c r="T17" s="98">
        <v>624.29145007452371</v>
      </c>
      <c r="U17" s="98">
        <v>510.55246729233249</v>
      </c>
      <c r="V17" s="98">
        <v>483.81539096667774</v>
      </c>
      <c r="W17" s="98">
        <v>1031.0268562485467</v>
      </c>
      <c r="X17" s="98">
        <v>980.68820677270742</v>
      </c>
      <c r="Y17" s="98">
        <v>1223.4575716097934</v>
      </c>
      <c r="Z17" s="98">
        <v>893.851955333668</v>
      </c>
      <c r="AA17" s="98">
        <v>646.98400962435426</v>
      </c>
      <c r="AB17" s="98">
        <v>544.75513614776412</v>
      </c>
      <c r="AC17" s="98">
        <v>571.8143857870997</v>
      </c>
      <c r="AD17" s="98">
        <v>896.73432968515419</v>
      </c>
      <c r="AE17" s="98">
        <v>674.55478521753275</v>
      </c>
      <c r="AF17" s="98">
        <v>1026.6002268989353</v>
      </c>
      <c r="AG17" s="98">
        <v>813.65631348772638</v>
      </c>
      <c r="AH17" s="98">
        <v>602.5925256963003</v>
      </c>
    </row>
    <row r="18" spans="1:34" s="100" customFormat="1" x14ac:dyDescent="0.25">
      <c r="A18" s="100" t="s">
        <v>58</v>
      </c>
      <c r="B18" s="100">
        <v>1079735.5892191038</v>
      </c>
      <c r="C18" s="100">
        <v>510263.18559234351</v>
      </c>
      <c r="D18" s="100">
        <v>922789.25539902912</v>
      </c>
      <c r="E18" s="100">
        <v>802984.87416070758</v>
      </c>
      <c r="F18" s="100">
        <v>619933.34942974197</v>
      </c>
      <c r="G18" s="100">
        <v>822837.01451546815</v>
      </c>
      <c r="H18" s="100">
        <v>1586270.3418917365</v>
      </c>
      <c r="I18" s="100">
        <v>933676.60513711558</v>
      </c>
      <c r="J18" s="100">
        <v>671565.19513248082</v>
      </c>
      <c r="K18" s="100">
        <v>717117.85559666343</v>
      </c>
      <c r="L18" s="100">
        <v>1186835.3194746119</v>
      </c>
      <c r="M18" s="100">
        <v>1386671.4740895175</v>
      </c>
      <c r="N18" s="100">
        <v>1251955.3734767933</v>
      </c>
      <c r="O18" s="100">
        <v>1224576.752410532</v>
      </c>
      <c r="P18" s="100">
        <v>1232284.2289956678</v>
      </c>
      <c r="Q18" s="100">
        <v>801168.57841673889</v>
      </c>
      <c r="R18" s="100">
        <v>1182079.8720662445</v>
      </c>
      <c r="S18" s="100">
        <v>996755.06267069408</v>
      </c>
      <c r="T18" s="100">
        <v>1166128.609424598</v>
      </c>
      <c r="U18" s="100">
        <v>1139051.9295324751</v>
      </c>
      <c r="V18" s="100">
        <v>944318.03051449556</v>
      </c>
      <c r="W18" s="100">
        <v>851359.67868710554</v>
      </c>
      <c r="X18" s="100">
        <v>1058167.8065360028</v>
      </c>
      <c r="Y18" s="100">
        <v>1658971.5421089423</v>
      </c>
      <c r="Z18" s="100">
        <v>1101045.5432050286</v>
      </c>
      <c r="AA18" s="100">
        <v>638082.39485371462</v>
      </c>
      <c r="AB18" s="100">
        <v>1387209.1971079265</v>
      </c>
      <c r="AC18" s="100">
        <v>805102.9706185949</v>
      </c>
      <c r="AD18" s="100">
        <v>792843.2070570325</v>
      </c>
      <c r="AE18" s="100">
        <v>671056.77542727289</v>
      </c>
      <c r="AF18" s="100">
        <v>1551806.0099342768</v>
      </c>
      <c r="AG18" s="100">
        <v>1680993.9220371477</v>
      </c>
      <c r="AH18" s="100">
        <v>1162290.6163499961</v>
      </c>
    </row>
    <row r="19" spans="1:34" s="103" customFormat="1" x14ac:dyDescent="0.25"/>
    <row r="20" spans="1:34" s="98" customFormat="1" x14ac:dyDescent="0.25">
      <c r="A20" s="98" t="s">
        <v>60</v>
      </c>
      <c r="B20" s="98">
        <v>1527.4578129973402</v>
      </c>
      <c r="C20" s="98">
        <v>1909.1188370274658</v>
      </c>
      <c r="D20" s="98">
        <v>1673.3977139481319</v>
      </c>
      <c r="E20" s="98">
        <v>1213.1031156792565</v>
      </c>
      <c r="F20" s="98">
        <v>1601.2758156808452</v>
      </c>
      <c r="G20" s="98">
        <v>1767.5172708852949</v>
      </c>
      <c r="H20" s="98">
        <v>1249.1924348321118</v>
      </c>
      <c r="I20" s="98">
        <v>1217.5507680854389</v>
      </c>
      <c r="J20" s="98">
        <v>1277.859439869821</v>
      </c>
      <c r="K20" s="98">
        <v>1636.0670643229801</v>
      </c>
      <c r="L20" s="98">
        <v>2264.6572402812662</v>
      </c>
      <c r="M20" s="98">
        <v>3024.2197815202962</v>
      </c>
      <c r="N20" s="98">
        <v>2149.9960881273064</v>
      </c>
      <c r="O20" s="98">
        <v>2390.4547608717576</v>
      </c>
      <c r="P20" s="98">
        <v>2727.7106811640579</v>
      </c>
      <c r="Q20" s="98">
        <v>2240.7117886272258</v>
      </c>
      <c r="R20" s="98">
        <v>2573.3807230083335</v>
      </c>
      <c r="S20" s="98">
        <v>1701.4426993930201</v>
      </c>
      <c r="T20" s="98">
        <v>2002.6802640083254</v>
      </c>
      <c r="U20" s="98">
        <v>1555.1862613299902</v>
      </c>
      <c r="V20" s="98">
        <v>1727.3325592865115</v>
      </c>
      <c r="W20" s="98">
        <v>2015.2585546346847</v>
      </c>
      <c r="X20" s="98">
        <v>3323.8684910024585</v>
      </c>
      <c r="Y20" s="98">
        <v>2333.2055921970532</v>
      </c>
      <c r="Z20" s="98">
        <v>8837.5846246275196</v>
      </c>
      <c r="AA20" s="98">
        <v>1735.7666720287375</v>
      </c>
      <c r="AB20" s="98">
        <v>3135.4848792085845</v>
      </c>
      <c r="AC20" s="98">
        <v>2241.9675534270568</v>
      </c>
      <c r="AD20" s="98">
        <v>2385.8644384647205</v>
      </c>
      <c r="AE20" s="98">
        <v>1359.8594965735274</v>
      </c>
      <c r="AF20" s="98">
        <v>1208.7293612630483</v>
      </c>
      <c r="AG20" s="98">
        <v>1744.8137298595207</v>
      </c>
      <c r="AH20" s="98">
        <v>1980.1773967530999</v>
      </c>
    </row>
    <row r="21" spans="1:34" s="98" customFormat="1" x14ac:dyDescent="0.25">
      <c r="A21" s="98" t="s">
        <v>61</v>
      </c>
      <c r="B21" s="98">
        <v>39.110829975881984</v>
      </c>
      <c r="C21" s="98">
        <v>31.168851287065948</v>
      </c>
      <c r="D21" s="98">
        <v>45.260990422795039</v>
      </c>
      <c r="E21" s="98">
        <v>21.548720616189414</v>
      </c>
      <c r="F21" s="98">
        <v>21.069229267270661</v>
      </c>
      <c r="G21" s="98">
        <v>24.445694226053121</v>
      </c>
      <c r="H21" s="98">
        <v>26.60050789247401</v>
      </c>
      <c r="I21" s="98">
        <v>17.769840829798813</v>
      </c>
      <c r="J21" s="98">
        <v>33.711910408039721</v>
      </c>
      <c r="K21" s="98">
        <v>23.753709570037024</v>
      </c>
      <c r="L21" s="98">
        <v>43.581353006476867</v>
      </c>
      <c r="M21" s="98">
        <v>81.312302205776987</v>
      </c>
      <c r="N21" s="98">
        <v>28.27779110573449</v>
      </c>
      <c r="O21" s="98">
        <v>35.015038942323784</v>
      </c>
      <c r="P21" s="98">
        <v>22.350902251759457</v>
      </c>
      <c r="Q21" s="98">
        <v>15.525040334715973</v>
      </c>
      <c r="R21" s="98">
        <v>43.878149757484756</v>
      </c>
      <c r="S21" s="98">
        <v>16.016082295934613</v>
      </c>
      <c r="T21" s="98">
        <v>28.080545699789877</v>
      </c>
      <c r="U21" s="98">
        <v>25.393849784226791</v>
      </c>
      <c r="V21" s="98">
        <v>27.477559375236609</v>
      </c>
      <c r="W21" s="98">
        <v>38.430210164760688</v>
      </c>
      <c r="X21" s="98">
        <v>31.246919873131699</v>
      </c>
      <c r="Y21" s="98">
        <v>38.164984543568323</v>
      </c>
      <c r="Z21" s="98">
        <v>146.6931100131828</v>
      </c>
      <c r="AA21" s="98">
        <v>45.293317232389199</v>
      </c>
      <c r="AB21" s="98">
        <v>38.479890425339981</v>
      </c>
      <c r="AC21" s="98">
        <v>48.194248660081037</v>
      </c>
      <c r="AD21" s="98">
        <v>49.646910455160722</v>
      </c>
      <c r="AE21" s="98">
        <v>27.519178176807841</v>
      </c>
      <c r="AF21" s="98">
        <v>39.466938853010483</v>
      </c>
      <c r="AG21" s="98">
        <v>38.161488397645179</v>
      </c>
      <c r="AH21" s="98">
        <v>36.633809915250659</v>
      </c>
    </row>
    <row r="22" spans="1:34" s="100" customFormat="1" x14ac:dyDescent="0.25">
      <c r="A22" s="100" t="s">
        <v>62</v>
      </c>
      <c r="B22" s="100">
        <v>71929.316932072135</v>
      </c>
      <c r="C22" s="100">
        <v>54617.011269200688</v>
      </c>
      <c r="D22" s="100">
        <v>67942.848991856852</v>
      </c>
      <c r="E22" s="100">
        <v>61834.97121593271</v>
      </c>
      <c r="F22" s="100">
        <v>29584.879784974524</v>
      </c>
      <c r="G22" s="100">
        <v>30716.974098416045</v>
      </c>
      <c r="H22" s="100">
        <v>41087.183825312764</v>
      </c>
      <c r="I22" s="100">
        <v>22261.20746284282</v>
      </c>
      <c r="J22" s="100">
        <v>52960.699347922869</v>
      </c>
      <c r="K22" s="100">
        <v>59613.587865115784</v>
      </c>
      <c r="L22" s="100">
        <v>74153.066646343621</v>
      </c>
      <c r="M22" s="100">
        <v>35234.428719940028</v>
      </c>
      <c r="N22" s="100">
        <v>26256.449221526236</v>
      </c>
      <c r="O22" s="100">
        <v>60664.255412039136</v>
      </c>
      <c r="P22" s="100">
        <v>44893.177657405962</v>
      </c>
      <c r="Q22" s="100">
        <v>28219.817276044265</v>
      </c>
      <c r="R22" s="100">
        <v>69950.606535998144</v>
      </c>
      <c r="S22" s="100">
        <v>35606.994859858256</v>
      </c>
      <c r="T22" s="100">
        <v>47710.569740842613</v>
      </c>
      <c r="U22" s="100">
        <v>48029.885676796373</v>
      </c>
      <c r="V22" s="100">
        <v>17580.826293965991</v>
      </c>
      <c r="W22" s="100">
        <v>77926.860575588638</v>
      </c>
      <c r="X22" s="100">
        <v>42908.079807023278</v>
      </c>
      <c r="Y22" s="100">
        <v>58220.529898636167</v>
      </c>
      <c r="Z22" s="100">
        <v>318835.24052306777</v>
      </c>
      <c r="AA22" s="100">
        <v>64095.600957130831</v>
      </c>
      <c r="AB22" s="100">
        <v>62143.406855233829</v>
      </c>
      <c r="AC22" s="100">
        <v>60384.98924019721</v>
      </c>
      <c r="AD22" s="100">
        <v>81714.865743052549</v>
      </c>
      <c r="AE22" s="100">
        <v>56187.965450271084</v>
      </c>
      <c r="AF22" s="100">
        <v>43020.615819593084</v>
      </c>
      <c r="AG22" s="100">
        <v>58051.302764084227</v>
      </c>
      <c r="AH22" s="100">
        <v>30470.876243260107</v>
      </c>
    </row>
    <row r="23" spans="1:34" s="103" customFormat="1" x14ac:dyDescent="0.25"/>
    <row r="25" spans="1:34" s="98" customFormat="1" x14ac:dyDescent="0.25">
      <c r="A25" s="98" t="s">
        <v>64</v>
      </c>
      <c r="B25" s="98">
        <v>100537.57850645369</v>
      </c>
      <c r="C25" s="98">
        <v>68748.135804632591</v>
      </c>
      <c r="D25" s="98">
        <v>62675.005417228858</v>
      </c>
      <c r="E25" s="98">
        <v>44201.823041723379</v>
      </c>
      <c r="F25" s="98">
        <v>49727.593445329992</v>
      </c>
      <c r="G25" s="98">
        <v>58676.923264799123</v>
      </c>
      <c r="H25" s="98">
        <v>34569.83048418309</v>
      </c>
      <c r="I25" s="98">
        <v>70805.435742840215</v>
      </c>
      <c r="J25" s="98">
        <v>57415.460611426694</v>
      </c>
      <c r="K25" s="98">
        <v>88771.556080224196</v>
      </c>
      <c r="L25" s="98">
        <v>80601.823779468847</v>
      </c>
      <c r="M25" s="98">
        <v>86099.582918459288</v>
      </c>
      <c r="N25" s="98">
        <v>64738.582049830227</v>
      </c>
      <c r="O25" s="98">
        <v>72783.4691291864</v>
      </c>
      <c r="P25" s="98">
        <v>90537.58505650454</v>
      </c>
      <c r="Q25" s="98">
        <v>37370.494458051107</v>
      </c>
      <c r="R25" s="98">
        <v>55842.927382997019</v>
      </c>
      <c r="S25" s="98">
        <v>35491.964066236884</v>
      </c>
      <c r="T25" s="98">
        <v>31954.701888448904</v>
      </c>
      <c r="U25" s="98">
        <v>41634.542409035574</v>
      </c>
      <c r="V25" s="98">
        <v>48071.729490653372</v>
      </c>
      <c r="W25" s="98">
        <v>49719.818410323991</v>
      </c>
      <c r="X25" s="98">
        <v>47064.432911393247</v>
      </c>
      <c r="Y25" s="98">
        <v>39248.545663798781</v>
      </c>
      <c r="Z25" s="98">
        <v>43237.76216916414</v>
      </c>
      <c r="AA25" s="98">
        <v>28669.914346410627</v>
      </c>
      <c r="AB25" s="98">
        <v>43867.693809533135</v>
      </c>
      <c r="AC25" s="98">
        <v>69657.033581191718</v>
      </c>
      <c r="AD25" s="98">
        <v>84121.454774298487</v>
      </c>
      <c r="AE25" s="98">
        <v>49720.774674934277</v>
      </c>
      <c r="AF25" s="98">
        <v>101439.13276511112</v>
      </c>
      <c r="AG25" s="98">
        <v>88825.709220358665</v>
      </c>
      <c r="AH25" s="98">
        <v>70700.271481561984</v>
      </c>
    </row>
    <row r="26" spans="1:34" s="98" customFormat="1" x14ac:dyDescent="0.25">
      <c r="A26" s="101" t="s">
        <v>65</v>
      </c>
      <c r="B26" s="98">
        <v>1087.126202057947</v>
      </c>
      <c r="C26" s="98">
        <v>722.64236551368447</v>
      </c>
      <c r="D26" s="98">
        <v>538.45521940071274</v>
      </c>
      <c r="E26" s="98">
        <v>472.31411771642075</v>
      </c>
      <c r="F26" s="98">
        <v>516.20572239588375</v>
      </c>
      <c r="G26" s="98">
        <v>594.49369900548697</v>
      </c>
      <c r="H26" s="98">
        <v>752.85834120079789</v>
      </c>
      <c r="I26" s="98">
        <v>637.27603693429705</v>
      </c>
      <c r="J26" s="98">
        <v>869.84338588990306</v>
      </c>
      <c r="K26" s="98">
        <v>998.19370113595471</v>
      </c>
      <c r="L26" s="98">
        <v>950.75824726939607</v>
      </c>
      <c r="M26" s="98">
        <v>2003.5934314602348</v>
      </c>
      <c r="N26" s="98">
        <v>1322.3507481056406</v>
      </c>
      <c r="O26" s="98">
        <v>945.85278416199208</v>
      </c>
      <c r="P26" s="98">
        <v>802.73188753879037</v>
      </c>
      <c r="Q26" s="98">
        <v>537.52436677948685</v>
      </c>
      <c r="R26" s="98">
        <v>465.6165724371225</v>
      </c>
      <c r="S26" s="98">
        <v>613.52808839705369</v>
      </c>
      <c r="T26" s="98">
        <v>804.25244219113245</v>
      </c>
      <c r="U26" s="98">
        <v>539.43687906687978</v>
      </c>
      <c r="V26" s="98">
        <v>415.30666350572426</v>
      </c>
      <c r="W26" s="98">
        <v>724.01501083237781</v>
      </c>
      <c r="X26" s="98">
        <v>1478.9813102933244</v>
      </c>
      <c r="Y26" s="98">
        <v>1320.3820378500059</v>
      </c>
      <c r="Z26" s="98">
        <v>1130.2622944323164</v>
      </c>
      <c r="AA26" s="98">
        <v>738.60373628524155</v>
      </c>
      <c r="AB26" s="98">
        <v>774.30692637541733</v>
      </c>
      <c r="AC26" s="98">
        <v>638.37966068790229</v>
      </c>
      <c r="AD26" s="98">
        <v>1003.9149626667989</v>
      </c>
      <c r="AE26" s="98">
        <v>848.87109089679336</v>
      </c>
      <c r="AF26" s="98">
        <v>1239.2667944662719</v>
      </c>
      <c r="AG26" s="98">
        <v>669.07059067759462</v>
      </c>
      <c r="AH26" s="98">
        <v>916.52948509090481</v>
      </c>
    </row>
    <row r="27" spans="1:34" s="100" customFormat="1" x14ac:dyDescent="0.25">
      <c r="A27" s="102" t="s">
        <v>66</v>
      </c>
      <c r="B27" s="100">
        <v>1256017.681528507</v>
      </c>
      <c r="C27" s="100">
        <v>915761.54405607947</v>
      </c>
      <c r="D27" s="100">
        <v>1371229.3388030687</v>
      </c>
      <c r="E27" s="100">
        <v>1270507.5765023711</v>
      </c>
      <c r="F27" s="100">
        <v>1114830.0560923922</v>
      </c>
      <c r="G27" s="100">
        <v>1089847.9071929404</v>
      </c>
      <c r="H27" s="100">
        <v>924781.28225836135</v>
      </c>
      <c r="I27" s="100">
        <v>925803.96624865022</v>
      </c>
      <c r="J27" s="100">
        <v>835188.60433776514</v>
      </c>
      <c r="K27" s="100">
        <v>840563.3970567754</v>
      </c>
      <c r="L27" s="100">
        <v>1700967.095527072</v>
      </c>
      <c r="M27" s="100">
        <v>1766352.1855515323</v>
      </c>
      <c r="N27" s="100">
        <v>1256377.8430886078</v>
      </c>
      <c r="O27" s="100">
        <v>1727304.5392768611</v>
      </c>
      <c r="P27" s="100">
        <v>1759024.7946753963</v>
      </c>
      <c r="Q27" s="100">
        <v>673208.9297773944</v>
      </c>
      <c r="R27" s="100">
        <v>951757.4223520119</v>
      </c>
      <c r="S27" s="100">
        <v>1710651.2987210702</v>
      </c>
      <c r="T27" s="100">
        <v>1269661.9340164301</v>
      </c>
      <c r="U27" s="100">
        <v>1174054.463646529</v>
      </c>
      <c r="V27" s="100">
        <v>911382.90685243998</v>
      </c>
      <c r="W27" s="100">
        <v>730670.40559006063</v>
      </c>
      <c r="X27" s="100">
        <v>1331046.4854594802</v>
      </c>
      <c r="Y27" s="100">
        <v>1533198.4467603411</v>
      </c>
      <c r="Z27" s="100">
        <v>1143577.5505522555</v>
      </c>
      <c r="AA27" s="100">
        <v>715114.55716700898</v>
      </c>
      <c r="AB27" s="100">
        <v>840721.89584959648</v>
      </c>
      <c r="AC27" s="100">
        <v>1484790.8238406845</v>
      </c>
      <c r="AD27" s="100">
        <v>864370.15001439268</v>
      </c>
      <c r="AE27" s="100">
        <v>963783.26334459952</v>
      </c>
      <c r="AF27" s="100">
        <v>2319694.2712367917</v>
      </c>
      <c r="AG27" s="100">
        <v>1637535.8854867688</v>
      </c>
      <c r="AH27" s="100">
        <v>1303238.6134926514</v>
      </c>
    </row>
    <row r="28" spans="1:34" s="103" customFormat="1" x14ac:dyDescent="0.25"/>
    <row r="29" spans="1:34" s="98" customFormat="1" x14ac:dyDescent="0.25">
      <c r="A29" s="98" t="s">
        <v>68</v>
      </c>
      <c r="B29" s="98">
        <v>29618.015380857429</v>
      </c>
      <c r="C29" s="98">
        <v>26393.002223660347</v>
      </c>
      <c r="D29" s="98">
        <v>32746.302791649778</v>
      </c>
      <c r="E29" s="98">
        <v>32958.327774493984</v>
      </c>
      <c r="F29" s="98">
        <v>39510.757647107654</v>
      </c>
      <c r="G29" s="98">
        <v>26232.856818087232</v>
      </c>
      <c r="H29" s="98">
        <v>26917.979781629238</v>
      </c>
      <c r="I29" s="98">
        <v>23867.786967746102</v>
      </c>
      <c r="J29" s="98">
        <v>39791.176752194762</v>
      </c>
      <c r="K29" s="98">
        <v>35719.928257406398</v>
      </c>
      <c r="L29" s="98">
        <v>53827.791369503975</v>
      </c>
      <c r="M29" s="98">
        <v>37168.641004492427</v>
      </c>
      <c r="N29" s="98">
        <v>46550.47834082698</v>
      </c>
      <c r="O29" s="98">
        <v>51069.818400651762</v>
      </c>
      <c r="P29" s="98">
        <v>43329.705510090142</v>
      </c>
      <c r="Q29" s="98">
        <v>27476.5958186194</v>
      </c>
      <c r="R29" s="98">
        <v>21704.83638184745</v>
      </c>
      <c r="S29" s="98">
        <v>29038.926708846549</v>
      </c>
      <c r="T29" s="98">
        <v>39768.474350669327</v>
      </c>
      <c r="U29" s="98">
        <v>40411.482504394633</v>
      </c>
      <c r="V29" s="98">
        <v>34296.401113345404</v>
      </c>
      <c r="W29" s="98">
        <v>33433.075721738751</v>
      </c>
      <c r="X29" s="98">
        <v>45838.830558782836</v>
      </c>
      <c r="Y29" s="98">
        <v>35250.521486549864</v>
      </c>
      <c r="Z29" s="98">
        <v>41747.399904554943</v>
      </c>
      <c r="AA29" s="98">
        <v>31062.409729176692</v>
      </c>
      <c r="AB29" s="98">
        <v>35007.459127017901</v>
      </c>
      <c r="AC29" s="98">
        <v>61430.545125500255</v>
      </c>
      <c r="AD29" s="98">
        <v>45281.612824536678</v>
      </c>
      <c r="AE29" s="98">
        <v>40022.708873751602</v>
      </c>
      <c r="AF29" s="98">
        <v>36204.5427422789</v>
      </c>
      <c r="AG29" s="98">
        <v>34452.285587959246</v>
      </c>
      <c r="AH29" s="98">
        <v>30125.752630910523</v>
      </c>
    </row>
    <row r="30" spans="1:34" s="98" customFormat="1" x14ac:dyDescent="0.25">
      <c r="A30" s="101" t="s">
        <v>69</v>
      </c>
      <c r="B30" s="98">
        <v>345.57509335005079</v>
      </c>
      <c r="C30" s="98">
        <v>256.48417695723981</v>
      </c>
      <c r="D30" s="98">
        <v>463.36069577510949</v>
      </c>
      <c r="E30" s="98">
        <v>264.30012850362669</v>
      </c>
      <c r="F30" s="98">
        <v>411.23151767569982</v>
      </c>
      <c r="G30" s="98">
        <v>525.637089625317</v>
      </c>
      <c r="H30" s="98">
        <v>387.87883546005668</v>
      </c>
      <c r="I30" s="98">
        <v>234.90285654380497</v>
      </c>
      <c r="J30" s="98">
        <v>350.26481215047642</v>
      </c>
      <c r="K30" s="98">
        <v>409.07543345442355</v>
      </c>
      <c r="L30" s="98">
        <v>680.5589209913868</v>
      </c>
      <c r="M30" s="98">
        <v>986.5958524634176</v>
      </c>
      <c r="N30" s="98">
        <v>580.94808403858747</v>
      </c>
      <c r="O30" s="98">
        <v>671.48454430554239</v>
      </c>
      <c r="P30" s="98">
        <v>474.78918115239304</v>
      </c>
      <c r="Q30" s="98">
        <v>483.81507233462912</v>
      </c>
      <c r="R30" s="98">
        <v>425.36021362455534</v>
      </c>
      <c r="S30" s="98">
        <v>534.54624899650992</v>
      </c>
      <c r="T30" s="98">
        <v>406.24972135881313</v>
      </c>
      <c r="U30" s="98">
        <v>583.40796522308574</v>
      </c>
      <c r="V30" s="98">
        <v>548.49773883852424</v>
      </c>
      <c r="W30" s="98">
        <v>779.79838946993664</v>
      </c>
      <c r="X30" s="98">
        <v>912.63448469661762</v>
      </c>
      <c r="Y30" s="98">
        <v>664.40406803751557</v>
      </c>
      <c r="Z30" s="98">
        <v>574.5290058599528</v>
      </c>
      <c r="AA30" s="98">
        <v>409.96815411983323</v>
      </c>
      <c r="AB30" s="98">
        <v>584.41643470548399</v>
      </c>
      <c r="AC30" s="98">
        <v>620.51738170094143</v>
      </c>
      <c r="AD30" s="98">
        <v>616.87877354024431</v>
      </c>
      <c r="AE30" s="98">
        <v>589.40744728579841</v>
      </c>
      <c r="AF30" s="98">
        <v>790.86806934711228</v>
      </c>
      <c r="AG30" s="98">
        <v>498.75081860032446</v>
      </c>
      <c r="AH30" s="98">
        <v>517.47080745760877</v>
      </c>
    </row>
    <row r="31" spans="1:34" s="100" customFormat="1" x14ac:dyDescent="0.25">
      <c r="A31" s="102" t="s">
        <v>70</v>
      </c>
      <c r="B31" s="100">
        <v>845536.52841245045</v>
      </c>
      <c r="C31" s="100">
        <v>470767.94626688596</v>
      </c>
      <c r="D31" s="100">
        <v>680070.50815618422</v>
      </c>
      <c r="E31" s="100">
        <v>492611.38434180629</v>
      </c>
      <c r="F31" s="100">
        <v>492386.40451929567</v>
      </c>
      <c r="G31" s="100">
        <v>606085.28409195959</v>
      </c>
      <c r="H31" s="100">
        <v>482790.46001924231</v>
      </c>
      <c r="I31" s="100">
        <v>321425.82004678919</v>
      </c>
      <c r="J31" s="100">
        <v>557429.64835633046</v>
      </c>
      <c r="K31" s="100">
        <v>397402.55483142432</v>
      </c>
      <c r="L31" s="100">
        <v>750916.44958165602</v>
      </c>
      <c r="M31" s="100">
        <v>960209.39956918347</v>
      </c>
      <c r="N31" s="100">
        <v>927028.84495646087</v>
      </c>
      <c r="O31" s="100">
        <v>610384.79570101888</v>
      </c>
      <c r="P31" s="100">
        <v>721664.10491953394</v>
      </c>
      <c r="Q31" s="100">
        <v>548143.77391280246</v>
      </c>
      <c r="R31" s="100">
        <v>702380.21002038836</v>
      </c>
      <c r="S31" s="100">
        <v>1261764.0066216362</v>
      </c>
      <c r="T31" s="100">
        <v>988486.72275993647</v>
      </c>
      <c r="U31" s="100">
        <v>759108.89882208372</v>
      </c>
      <c r="V31" s="100">
        <v>644394.23813437903</v>
      </c>
      <c r="W31" s="100">
        <v>928076.21182083641</v>
      </c>
      <c r="X31" s="100">
        <v>819341.43769855134</v>
      </c>
      <c r="Y31" s="100">
        <v>1193421.9029055447</v>
      </c>
      <c r="Z31" s="100">
        <v>973140.786565291</v>
      </c>
      <c r="AA31" s="100">
        <v>620556.9135161743</v>
      </c>
      <c r="AB31" s="100">
        <v>489186.96673180716</v>
      </c>
      <c r="AC31" s="100">
        <v>700749.44504731591</v>
      </c>
      <c r="AD31" s="100">
        <v>710540.41660737817</v>
      </c>
      <c r="AE31" s="100">
        <v>701384.98679531273</v>
      </c>
      <c r="AF31" s="100">
        <v>1350828.154882709</v>
      </c>
      <c r="AG31" s="100">
        <v>1102837.2112663176</v>
      </c>
      <c r="AH31" s="100">
        <v>604963.86071667739</v>
      </c>
    </row>
    <row r="32" spans="1:34" s="103" customFormat="1" x14ac:dyDescent="0.25"/>
    <row r="33" spans="1:34" s="98" customFormat="1" x14ac:dyDescent="0.25">
      <c r="A33" s="98" t="s">
        <v>72</v>
      </c>
      <c r="B33" s="98">
        <v>57147.545452797392</v>
      </c>
      <c r="C33" s="98">
        <v>29803.815368870011</v>
      </c>
      <c r="D33" s="98">
        <v>35476.588604556469</v>
      </c>
      <c r="E33" s="98">
        <v>29768.995282630174</v>
      </c>
      <c r="F33" s="98">
        <v>19840.235498719539</v>
      </c>
      <c r="G33" s="98">
        <v>29691.801757205947</v>
      </c>
      <c r="H33" s="98">
        <v>26225.923827813058</v>
      </c>
      <c r="I33" s="98">
        <v>36544.191104748978</v>
      </c>
      <c r="J33" s="98">
        <v>25027.731471353334</v>
      </c>
      <c r="K33" s="98">
        <v>24272.918776310536</v>
      </c>
      <c r="L33" s="98">
        <v>31143.423883990981</v>
      </c>
      <c r="M33" s="98">
        <v>46992.628451148346</v>
      </c>
      <c r="N33" s="98">
        <v>47408.578135266973</v>
      </c>
      <c r="O33" s="98">
        <v>54171.657443051372</v>
      </c>
      <c r="P33" s="98">
        <v>43911.974336573388</v>
      </c>
      <c r="Q33" s="98">
        <v>17952.992744133662</v>
      </c>
      <c r="R33" s="98">
        <v>13709.032208023295</v>
      </c>
      <c r="S33" s="98">
        <v>9067.9129393555886</v>
      </c>
      <c r="T33" s="98">
        <v>11786.324941694213</v>
      </c>
      <c r="U33" s="98">
        <v>12993.669970498549</v>
      </c>
      <c r="V33" s="98">
        <v>11334.601551919091</v>
      </c>
      <c r="W33" s="98">
        <v>21246.438072320976</v>
      </c>
      <c r="X33" s="98">
        <v>21446.898155790765</v>
      </c>
      <c r="Y33" s="98">
        <v>23202.148756661139</v>
      </c>
      <c r="Z33" s="98">
        <v>17378.747432307053</v>
      </c>
      <c r="AA33" s="98">
        <v>13931.478983522928</v>
      </c>
      <c r="AB33" s="98">
        <v>10575.007799917938</v>
      </c>
      <c r="AC33" s="98">
        <v>12637.443884212747</v>
      </c>
      <c r="AD33" s="98">
        <v>36279.505374028769</v>
      </c>
      <c r="AE33" s="98">
        <v>33369.740527604175</v>
      </c>
      <c r="AF33" s="98">
        <v>32717.301339672482</v>
      </c>
      <c r="AG33" s="98">
        <v>31923.053488076232</v>
      </c>
      <c r="AH33" s="98">
        <v>31036.258420509988</v>
      </c>
    </row>
    <row r="34" spans="1:34" s="98" customFormat="1" x14ac:dyDescent="0.25">
      <c r="A34" s="101" t="s">
        <v>73</v>
      </c>
      <c r="B34" s="98">
        <v>771.86800276151712</v>
      </c>
      <c r="C34" s="98">
        <v>308.75070074897894</v>
      </c>
      <c r="D34" s="98">
        <v>441.62901071576238</v>
      </c>
      <c r="E34" s="98">
        <v>366.28705978302986</v>
      </c>
      <c r="F34" s="98">
        <v>321.54159610659559</v>
      </c>
      <c r="G34" s="98">
        <v>240.26019334559373</v>
      </c>
      <c r="H34" s="98">
        <v>341.28077589739064</v>
      </c>
      <c r="I34" s="98">
        <v>247.24709496403733</v>
      </c>
      <c r="J34" s="98">
        <v>469.07471484059874</v>
      </c>
      <c r="K34" s="98">
        <v>380.07541842376969</v>
      </c>
      <c r="L34" s="98">
        <v>590.97590565308133</v>
      </c>
      <c r="M34" s="98">
        <v>677.43553007865989</v>
      </c>
      <c r="N34" s="98">
        <v>459.28324482331487</v>
      </c>
      <c r="O34" s="98">
        <v>352.38631569661027</v>
      </c>
      <c r="P34" s="98">
        <v>397.31345605488065</v>
      </c>
      <c r="Q34" s="98">
        <v>209.86107882343592</v>
      </c>
      <c r="R34" s="98">
        <v>162.12579554175804</v>
      </c>
      <c r="S34" s="98">
        <v>145.04817160244571</v>
      </c>
      <c r="T34" s="98">
        <v>151.9727382450248</v>
      </c>
      <c r="U34" s="98">
        <v>223.54175177840895</v>
      </c>
      <c r="V34" s="98">
        <v>164.78269246166295</v>
      </c>
      <c r="W34" s="98">
        <v>425.33375989063944</v>
      </c>
      <c r="X34" s="98">
        <v>558.25445107840767</v>
      </c>
      <c r="Y34" s="98">
        <v>527.81632584428803</v>
      </c>
      <c r="Z34" s="98">
        <v>373.05919164106064</v>
      </c>
      <c r="AA34" s="98">
        <v>181.6716823668288</v>
      </c>
      <c r="AB34" s="98">
        <v>171.6817433091249</v>
      </c>
      <c r="AC34" s="98">
        <v>137.86891904378047</v>
      </c>
      <c r="AD34" s="98">
        <v>197.07034046595646</v>
      </c>
      <c r="AE34" s="98">
        <v>303.17469462093817</v>
      </c>
      <c r="AF34" s="98">
        <v>241.62494593984113</v>
      </c>
      <c r="AG34" s="98">
        <v>285.85635581913954</v>
      </c>
      <c r="AH34" s="98">
        <v>325.16780739700255</v>
      </c>
    </row>
    <row r="35" spans="1:34" s="100" customFormat="1" x14ac:dyDescent="0.25">
      <c r="A35" s="102" t="s">
        <v>74</v>
      </c>
      <c r="B35" s="100">
        <v>672188.92684056808</v>
      </c>
      <c r="C35" s="100">
        <v>612120.91562422668</v>
      </c>
      <c r="D35" s="100">
        <v>357697.41396141</v>
      </c>
      <c r="E35" s="100">
        <v>553865.1159990232</v>
      </c>
      <c r="F35" s="100">
        <v>521351.36848346289</v>
      </c>
      <c r="G35" s="100">
        <v>467269.37263587565</v>
      </c>
      <c r="H35" s="100">
        <v>453414.33865843585</v>
      </c>
      <c r="I35" s="100">
        <v>439727.94347387343</v>
      </c>
      <c r="J35" s="100">
        <v>430119.51000535727</v>
      </c>
      <c r="K35" s="100">
        <v>354106.10758532258</v>
      </c>
      <c r="L35" s="100">
        <v>787996.02274827613</v>
      </c>
      <c r="M35" s="100">
        <v>925360.88202492974</v>
      </c>
      <c r="N35" s="100">
        <v>669001.9076268624</v>
      </c>
      <c r="O35" s="100">
        <v>546088.71620188362</v>
      </c>
      <c r="P35" s="100">
        <v>487045.47852397105</v>
      </c>
      <c r="Q35" s="100">
        <v>345608.49237162486</v>
      </c>
      <c r="R35" s="100">
        <v>242588.833129159</v>
      </c>
      <c r="S35" s="100">
        <v>383240.74242425594</v>
      </c>
      <c r="T35" s="100">
        <v>416840.08878900856</v>
      </c>
      <c r="U35" s="100">
        <v>297465.81743281276</v>
      </c>
      <c r="V35" s="100">
        <v>205084.86259392038</v>
      </c>
      <c r="W35" s="100">
        <v>341590.96101475932</v>
      </c>
      <c r="X35" s="100">
        <v>551539.14714779856</v>
      </c>
      <c r="Y35" s="100">
        <v>370121.15230578947</v>
      </c>
      <c r="Z35" s="100">
        <v>439017.41165727377</v>
      </c>
      <c r="AA35" s="100">
        <v>159726.98344693365</v>
      </c>
      <c r="AB35" s="100">
        <v>299674.67431449681</v>
      </c>
      <c r="AC35" s="100">
        <v>243092.8264555372</v>
      </c>
      <c r="AD35" s="100">
        <v>324644.71972963912</v>
      </c>
      <c r="AE35" s="100">
        <v>386219.21635367454</v>
      </c>
      <c r="AF35" s="100">
        <v>672639.74559438019</v>
      </c>
      <c r="AG35" s="100">
        <v>492004.70981899247</v>
      </c>
      <c r="AH35" s="100">
        <v>424715.26572370017</v>
      </c>
    </row>
    <row r="36" spans="1:34" s="103" customFormat="1" x14ac:dyDescent="0.25"/>
    <row r="38" spans="1:34" s="98" customFormat="1" x14ac:dyDescent="0.25">
      <c r="A38" s="98" t="s">
        <v>76</v>
      </c>
      <c r="B38" s="98">
        <v>18257.705355039954</v>
      </c>
      <c r="C38" s="98">
        <v>12625.823027715942</v>
      </c>
      <c r="D38" s="98">
        <v>8847.9421893313465</v>
      </c>
      <c r="E38" s="98">
        <v>14470.631977891306</v>
      </c>
      <c r="F38" s="98">
        <v>20752.131560044105</v>
      </c>
      <c r="G38" s="98">
        <v>12389.017872935836</v>
      </c>
      <c r="H38" s="98">
        <v>16149.917944486573</v>
      </c>
      <c r="I38" s="98">
        <v>21420.591354724311</v>
      </c>
      <c r="J38" s="98">
        <v>11660.345944978473</v>
      </c>
      <c r="K38" s="98">
        <v>21241.740367173828</v>
      </c>
      <c r="L38" s="98">
        <v>11151.279247608029</v>
      </c>
      <c r="M38" s="98">
        <v>9714.8265233587663</v>
      </c>
      <c r="N38" s="98">
        <v>8817.3367877251512</v>
      </c>
      <c r="O38" s="98">
        <v>18385.758761481724</v>
      </c>
      <c r="P38" s="98">
        <v>17779.443399479416</v>
      </c>
      <c r="Q38" s="98">
        <v>17550.932537200064</v>
      </c>
      <c r="R38" s="98">
        <v>21118.349714845102</v>
      </c>
      <c r="S38" s="98">
        <v>12367.077589883764</v>
      </c>
      <c r="T38" s="98">
        <v>18982.369532504308</v>
      </c>
      <c r="U38" s="98">
        <v>13084.494374282791</v>
      </c>
      <c r="V38" s="98">
        <v>9220.6292744570783</v>
      </c>
      <c r="W38" s="98">
        <v>13580.955761019857</v>
      </c>
      <c r="X38" s="98">
        <v>16740.360032278335</v>
      </c>
      <c r="Y38" s="98">
        <v>12656.79872074422</v>
      </c>
      <c r="Z38" s="98">
        <v>20303.036821128677</v>
      </c>
      <c r="AA38" s="98">
        <v>19229.892227849756</v>
      </c>
      <c r="AB38" s="98">
        <v>22417.666503278793</v>
      </c>
      <c r="AC38" s="98">
        <v>11605.759744497238</v>
      </c>
      <c r="AD38" s="98">
        <v>22862.335397838604</v>
      </c>
      <c r="AE38" s="98">
        <v>15854.024951510217</v>
      </c>
      <c r="AF38" s="98">
        <v>14546.294342196647</v>
      </c>
      <c r="AG38" s="98">
        <v>17891.344667143752</v>
      </c>
      <c r="AH38" s="98">
        <v>12804.918989483891</v>
      </c>
    </row>
    <row r="39" spans="1:34" s="98" customFormat="1" x14ac:dyDescent="0.25">
      <c r="A39" s="101" t="s">
        <v>77</v>
      </c>
      <c r="B39" s="98">
        <v>177.73793976403761</v>
      </c>
      <c r="C39" s="98">
        <v>199.40671527659657</v>
      </c>
      <c r="D39" s="98">
        <v>164.68529152403562</v>
      </c>
      <c r="E39" s="98">
        <v>200.08168958474113</v>
      </c>
      <c r="F39" s="98">
        <v>334.79955743785007</v>
      </c>
      <c r="G39" s="98">
        <v>192.14476091715312</v>
      </c>
      <c r="H39" s="98">
        <v>284.8302484235154</v>
      </c>
      <c r="I39" s="98">
        <v>226.57139764406764</v>
      </c>
      <c r="J39" s="98">
        <v>322.74774819332225</v>
      </c>
      <c r="K39" s="98">
        <v>225.00546902286439</v>
      </c>
      <c r="L39" s="98">
        <v>111.79066994890437</v>
      </c>
      <c r="M39" s="98">
        <v>190.49252074117413</v>
      </c>
      <c r="N39" s="98">
        <v>256.02712525738582</v>
      </c>
      <c r="O39" s="98">
        <v>243.78584813540402</v>
      </c>
      <c r="P39" s="98">
        <v>241.62367864490241</v>
      </c>
      <c r="Q39" s="98">
        <v>305.10541699855474</v>
      </c>
      <c r="R39" s="98">
        <v>282.44392785146891</v>
      </c>
      <c r="S39" s="98">
        <v>218.16422588224475</v>
      </c>
      <c r="T39" s="98">
        <v>198.8760245050222</v>
      </c>
      <c r="U39" s="98">
        <v>159.63350405243014</v>
      </c>
      <c r="V39" s="98">
        <v>213.38698748919126</v>
      </c>
      <c r="W39" s="98">
        <v>167.41820709958657</v>
      </c>
      <c r="X39" s="98">
        <v>321.5233531175424</v>
      </c>
      <c r="Y39" s="98">
        <v>300.86680804663513</v>
      </c>
      <c r="Z39" s="98">
        <v>318.60921933620756</v>
      </c>
      <c r="AA39" s="98">
        <v>196.85851000734417</v>
      </c>
      <c r="AB39" s="98">
        <v>318.86759346773158</v>
      </c>
      <c r="AC39" s="98">
        <v>176.08328834961964</v>
      </c>
      <c r="AD39" s="98">
        <v>188.81414551912184</v>
      </c>
      <c r="AE39" s="98">
        <v>330.54295114120168</v>
      </c>
      <c r="AF39" s="98">
        <v>302.67152217856807</v>
      </c>
      <c r="AG39" s="98">
        <v>366.44375992575453</v>
      </c>
      <c r="AH39" s="98">
        <v>316.6013060781932</v>
      </c>
    </row>
    <row r="40" spans="1:34" s="100" customFormat="1" x14ac:dyDescent="0.25">
      <c r="A40" s="102" t="s">
        <v>78</v>
      </c>
      <c r="B40" s="100">
        <v>339922.48723707011</v>
      </c>
      <c r="C40" s="100">
        <v>167280.86803601193</v>
      </c>
      <c r="D40" s="100">
        <v>374068.365749872</v>
      </c>
      <c r="E40" s="100">
        <v>402862.89290151751</v>
      </c>
      <c r="F40" s="100">
        <v>347104.64244804473</v>
      </c>
      <c r="G40" s="100">
        <v>470290.00865725131</v>
      </c>
      <c r="H40" s="100">
        <v>652453.09082006244</v>
      </c>
      <c r="I40" s="100">
        <v>500578.7760416271</v>
      </c>
      <c r="J40" s="100">
        <v>400328.07759205275</v>
      </c>
      <c r="K40" s="100">
        <v>444584.8048343244</v>
      </c>
      <c r="L40" s="100">
        <v>155190.67488816517</v>
      </c>
      <c r="M40" s="100">
        <v>310663.68774776766</v>
      </c>
      <c r="N40" s="100">
        <v>258680.22464849579</v>
      </c>
      <c r="O40" s="100">
        <v>529440.13455734018</v>
      </c>
      <c r="P40" s="100">
        <v>354397.15116591152</v>
      </c>
      <c r="Q40" s="100">
        <v>600621.14854672004</v>
      </c>
      <c r="R40" s="100">
        <v>421072.99881721509</v>
      </c>
      <c r="S40" s="100">
        <v>245305.15492270674</v>
      </c>
      <c r="T40" s="100">
        <v>310086.00037312484</v>
      </c>
      <c r="U40" s="100">
        <v>147353.773185592</v>
      </c>
      <c r="V40" s="100">
        <v>313526.25675899972</v>
      </c>
      <c r="W40" s="100">
        <v>236128.28554351639</v>
      </c>
      <c r="X40" s="100">
        <v>440137.45093987969</v>
      </c>
      <c r="Y40" s="100">
        <v>407849.32575051568</v>
      </c>
      <c r="Z40" s="100">
        <v>643484.08363336429</v>
      </c>
      <c r="AA40" s="100">
        <v>456204.15915947518</v>
      </c>
      <c r="AB40" s="100">
        <v>302218.01723447302</v>
      </c>
      <c r="AC40" s="100">
        <v>375069.8426675623</v>
      </c>
      <c r="AD40" s="100">
        <v>293624.16737724579</v>
      </c>
      <c r="AE40" s="100">
        <v>477174.19300909247</v>
      </c>
      <c r="AF40" s="100">
        <v>571662.4490811025</v>
      </c>
      <c r="AG40" s="100">
        <v>654036.8559982779</v>
      </c>
      <c r="AH40" s="100">
        <v>227356.5351186585</v>
      </c>
    </row>
    <row r="41" spans="1:34" s="103" customFormat="1" x14ac:dyDescent="0.25"/>
    <row r="43" spans="1:34" s="98" customFormat="1" x14ac:dyDescent="0.25">
      <c r="A43" s="98" t="s">
        <v>80</v>
      </c>
      <c r="B43" s="98">
        <v>54419.236230244038</v>
      </c>
      <c r="C43" s="98">
        <v>24894.286309788295</v>
      </c>
      <c r="D43" s="98">
        <v>48115.712890466151</v>
      </c>
      <c r="E43" s="98">
        <v>40654.610979782323</v>
      </c>
      <c r="F43" s="98">
        <v>37070.309147821157</v>
      </c>
      <c r="G43" s="98">
        <v>39824.398148440552</v>
      </c>
      <c r="H43" s="98">
        <v>25171.706403253444</v>
      </c>
      <c r="I43" s="98">
        <v>24718.268048750306</v>
      </c>
      <c r="J43" s="98">
        <v>28584.255984475843</v>
      </c>
      <c r="K43" s="98">
        <v>27690.382954141427</v>
      </c>
      <c r="L43" s="98">
        <v>37485.622691099939</v>
      </c>
      <c r="M43" s="98">
        <v>61693.059162690603</v>
      </c>
      <c r="N43" s="98">
        <v>37010.210431665568</v>
      </c>
      <c r="O43" s="98">
        <v>41677.553856170867</v>
      </c>
      <c r="P43" s="98">
        <v>35267.232822410799</v>
      </c>
      <c r="Q43" s="98">
        <v>28459.557524019419</v>
      </c>
      <c r="R43" s="98">
        <v>35877.677110220044</v>
      </c>
      <c r="S43" s="98">
        <v>39017.671840262527</v>
      </c>
      <c r="T43" s="98">
        <v>31653.75964817551</v>
      </c>
      <c r="U43" s="98">
        <v>53661.645329335443</v>
      </c>
      <c r="V43" s="98">
        <v>35520.023457343559</v>
      </c>
      <c r="W43" s="98">
        <v>46239.190049573896</v>
      </c>
      <c r="X43" s="98">
        <v>61203.80210407541</v>
      </c>
      <c r="Y43" s="98">
        <v>47354.202186662296</v>
      </c>
      <c r="Z43" s="98">
        <v>40050.252231325067</v>
      </c>
      <c r="AA43" s="98">
        <v>23479.951959483606</v>
      </c>
      <c r="AB43" s="98">
        <v>40803.136011528943</v>
      </c>
      <c r="AC43" s="98">
        <v>38577.252259191817</v>
      </c>
      <c r="AD43" s="98">
        <v>26419.543210045984</v>
      </c>
      <c r="AE43" s="98">
        <v>45415.358291371464</v>
      </c>
      <c r="AF43" s="98">
        <v>49965.344312023182</v>
      </c>
      <c r="AG43" s="98">
        <v>48030.9818026172</v>
      </c>
      <c r="AH43" s="98">
        <v>29977.822343317737</v>
      </c>
    </row>
    <row r="44" spans="1:34" s="98" customFormat="1" x14ac:dyDescent="0.25">
      <c r="A44" s="101" t="s">
        <v>81</v>
      </c>
      <c r="B44" s="98">
        <v>1060.3626755283299</v>
      </c>
      <c r="C44" s="98">
        <v>674.0092335955818</v>
      </c>
      <c r="D44" s="98">
        <v>1105.1963844000754</v>
      </c>
      <c r="E44" s="98">
        <v>627.38883702688213</v>
      </c>
      <c r="F44" s="98">
        <v>814.50924069473479</v>
      </c>
      <c r="G44" s="98">
        <v>693.92002484986631</v>
      </c>
      <c r="H44" s="98">
        <v>549.61454116142409</v>
      </c>
      <c r="I44" s="98">
        <v>661.39091060203953</v>
      </c>
      <c r="J44" s="98">
        <v>610.30535919955958</v>
      </c>
      <c r="K44" s="98">
        <v>906.44811650133545</v>
      </c>
      <c r="L44" s="98">
        <v>1487.5274383036256</v>
      </c>
      <c r="M44" s="98">
        <v>1536.9033156433052</v>
      </c>
      <c r="N44" s="98">
        <v>1135.0914268954371</v>
      </c>
      <c r="O44" s="98">
        <v>926.56911322404744</v>
      </c>
      <c r="P44" s="98">
        <v>568.49259501269069</v>
      </c>
      <c r="Q44" s="98">
        <v>928.59557677593716</v>
      </c>
      <c r="R44" s="98">
        <v>975.9362057869389</v>
      </c>
      <c r="S44" s="98">
        <v>831.59976141362461</v>
      </c>
      <c r="T44" s="98">
        <v>763.58056529518126</v>
      </c>
      <c r="U44" s="98">
        <v>932.66743644835321</v>
      </c>
      <c r="V44" s="98">
        <v>630.1083760801024</v>
      </c>
      <c r="W44" s="98">
        <v>1197.0716727956242</v>
      </c>
      <c r="X44" s="98">
        <v>780.02169650927885</v>
      </c>
      <c r="Y44" s="98">
        <v>1137.8140997938167</v>
      </c>
      <c r="Z44" s="98">
        <v>795.94366933213064</v>
      </c>
      <c r="AA44" s="98">
        <v>961.7206574603108</v>
      </c>
      <c r="AB44" s="98">
        <v>587.45989156276937</v>
      </c>
      <c r="AC44" s="98">
        <v>841.77320705967952</v>
      </c>
      <c r="AD44" s="98">
        <v>903.82194591094333</v>
      </c>
      <c r="AE44" s="98">
        <v>627.58878508923283</v>
      </c>
      <c r="AF44" s="98">
        <v>817.3316475492627</v>
      </c>
      <c r="AG44" s="98">
        <v>587.67185038656658</v>
      </c>
      <c r="AH44" s="98">
        <v>715.6580880465624</v>
      </c>
    </row>
    <row r="45" spans="1:34" s="100" customFormat="1" x14ac:dyDescent="0.25">
      <c r="A45" s="102" t="s">
        <v>82</v>
      </c>
      <c r="B45" s="100">
        <v>2050895.2613533598</v>
      </c>
      <c r="C45" s="100">
        <v>954666.44221979426</v>
      </c>
      <c r="D45" s="100">
        <v>1870528.5386267377</v>
      </c>
      <c r="E45" s="100">
        <v>1580484.879208924</v>
      </c>
      <c r="F45" s="100">
        <v>1475430.3644872312</v>
      </c>
      <c r="G45" s="100">
        <v>1840092.8036100222</v>
      </c>
      <c r="H45" s="100">
        <v>1453347.6064647266</v>
      </c>
      <c r="I45" s="100">
        <v>1019478.8187822558</v>
      </c>
      <c r="J45" s="100">
        <v>847458.2593162047</v>
      </c>
      <c r="K45" s="100">
        <v>1097963.6856911061</v>
      </c>
      <c r="L45" s="100">
        <v>1530514.6527246123</v>
      </c>
      <c r="M45" s="100">
        <v>1402372.09854566</v>
      </c>
      <c r="N45" s="100">
        <v>1282931.2227661039</v>
      </c>
      <c r="O45" s="100">
        <v>1551517.8641526366</v>
      </c>
      <c r="P45" s="100">
        <v>1892207.5955319852</v>
      </c>
      <c r="Q45" s="100">
        <v>1646781.0057114449</v>
      </c>
      <c r="R45" s="100">
        <v>1345292.8369483105</v>
      </c>
      <c r="S45" s="100">
        <v>1631867.1225628429</v>
      </c>
      <c r="T45" s="100">
        <v>1552038.7658520038</v>
      </c>
      <c r="U45" s="100">
        <v>1605412.9840606416</v>
      </c>
      <c r="V45" s="100">
        <v>989773.30347744212</v>
      </c>
      <c r="W45" s="100">
        <v>1403955.186517444</v>
      </c>
      <c r="X45" s="100">
        <v>1747658.6191743675</v>
      </c>
      <c r="Y45" s="100">
        <v>1917909.9105812092</v>
      </c>
      <c r="Z45" s="100">
        <v>1143788.2150257111</v>
      </c>
      <c r="AA45" s="100">
        <v>1193783.9058953815</v>
      </c>
      <c r="AB45" s="100">
        <v>1430259.9836647462</v>
      </c>
      <c r="AC45" s="100">
        <v>1291373.2651184814</v>
      </c>
      <c r="AD45" s="100">
        <v>1017360.1608927326</v>
      </c>
      <c r="AE45" s="100">
        <v>1248265.3209859221</v>
      </c>
      <c r="AF45" s="100">
        <v>1956408.935106318</v>
      </c>
      <c r="AG45" s="100">
        <v>1705849.3370798277</v>
      </c>
      <c r="AH45" s="100">
        <v>1079425.1525568196</v>
      </c>
    </row>
    <row r="46" spans="1:34" s="103" customFormat="1" x14ac:dyDescent="0.25"/>
    <row r="48" spans="1:34" s="98" customFormat="1" x14ac:dyDescent="0.25">
      <c r="A48" s="98" t="s">
        <v>84</v>
      </c>
      <c r="B48" s="98">
        <v>27463.253297671479</v>
      </c>
      <c r="C48" s="98">
        <v>14359.99026469984</v>
      </c>
      <c r="D48" s="98">
        <v>19814.432232745083</v>
      </c>
      <c r="E48" s="98">
        <v>18291.787527948196</v>
      </c>
      <c r="F48" s="98">
        <v>22982.028976414127</v>
      </c>
      <c r="G48" s="98">
        <v>13889.23069040241</v>
      </c>
      <c r="H48" s="98">
        <v>19744.061296182561</v>
      </c>
      <c r="I48" s="98">
        <v>16626.054150693202</v>
      </c>
      <c r="J48" s="98">
        <v>18469.279107052105</v>
      </c>
      <c r="K48" s="98">
        <v>16641.503933446529</v>
      </c>
      <c r="L48" s="98">
        <v>17249.729564909587</v>
      </c>
      <c r="M48" s="98">
        <v>19040.951486825408</v>
      </c>
      <c r="N48" s="98">
        <v>26585.640287686871</v>
      </c>
      <c r="O48" s="98">
        <v>31773.054384188843</v>
      </c>
      <c r="P48" s="98">
        <v>18561.841081023733</v>
      </c>
      <c r="Q48" s="98">
        <v>16529.388648686043</v>
      </c>
      <c r="R48" s="98">
        <v>16901.204436393607</v>
      </c>
      <c r="S48" s="98">
        <v>14224.007957417516</v>
      </c>
      <c r="T48" s="98">
        <v>16627.622477876856</v>
      </c>
      <c r="U48" s="98">
        <v>20336.664228849833</v>
      </c>
      <c r="V48" s="98">
        <v>18529.955884242863</v>
      </c>
      <c r="W48" s="98">
        <v>14250.218624242685</v>
      </c>
      <c r="X48" s="98">
        <v>18646.267228530989</v>
      </c>
      <c r="Y48" s="98">
        <v>19063.318681048717</v>
      </c>
      <c r="Z48" s="98">
        <v>17663.252605268623</v>
      </c>
      <c r="AA48" s="98">
        <v>14725.060112407918</v>
      </c>
      <c r="AB48" s="98">
        <v>13693.765987108885</v>
      </c>
      <c r="AC48" s="98">
        <v>15665.443992043609</v>
      </c>
      <c r="AD48" s="98">
        <v>14179.966533306146</v>
      </c>
      <c r="AE48" s="98">
        <v>17325.871676251863</v>
      </c>
      <c r="AF48" s="98">
        <v>11647.188384996616</v>
      </c>
      <c r="AG48" s="98">
        <v>11537.591788827542</v>
      </c>
      <c r="AH48" s="98">
        <v>15851.897031025219</v>
      </c>
    </row>
    <row r="49" spans="1:34" s="98" customFormat="1" x14ac:dyDescent="0.25">
      <c r="A49" s="101" t="s">
        <v>85</v>
      </c>
      <c r="B49" s="98">
        <v>856.35381027302174</v>
      </c>
      <c r="C49" s="98">
        <v>681.80567732747011</v>
      </c>
      <c r="D49" s="98">
        <v>754.53322031237894</v>
      </c>
      <c r="E49" s="98">
        <v>431.89790624224997</v>
      </c>
      <c r="F49" s="98">
        <v>455.79683376053924</v>
      </c>
      <c r="G49" s="98">
        <v>1081.845268650917</v>
      </c>
      <c r="H49" s="98">
        <v>685.54180732448185</v>
      </c>
      <c r="I49" s="98">
        <v>427.01900306490455</v>
      </c>
      <c r="J49" s="98">
        <v>559.57579010769336</v>
      </c>
      <c r="K49" s="98">
        <v>539.90572567625486</v>
      </c>
      <c r="L49" s="98">
        <v>732.81898480831103</v>
      </c>
      <c r="M49" s="98">
        <v>1145.5698212043503</v>
      </c>
      <c r="N49" s="98">
        <v>905.22055339857104</v>
      </c>
      <c r="O49" s="98">
        <v>539.83515662063746</v>
      </c>
      <c r="P49" s="98">
        <v>430.33597422797953</v>
      </c>
      <c r="Q49" s="98">
        <v>456.29226252443198</v>
      </c>
      <c r="R49" s="98">
        <v>796.11973269758676</v>
      </c>
      <c r="S49" s="98">
        <v>687.97436161497615</v>
      </c>
      <c r="T49" s="98">
        <v>484.47812833761782</v>
      </c>
      <c r="U49" s="98">
        <v>678.74342612090209</v>
      </c>
      <c r="V49" s="98">
        <v>597.72019344214539</v>
      </c>
      <c r="W49" s="98">
        <v>341.9248097775793</v>
      </c>
      <c r="X49" s="98">
        <v>583.81935393140975</v>
      </c>
      <c r="Y49" s="98">
        <v>901.45294876915784</v>
      </c>
      <c r="Z49" s="98">
        <v>465.26234997823394</v>
      </c>
      <c r="AA49" s="98">
        <v>499.74448447830491</v>
      </c>
      <c r="AB49" s="98">
        <v>439.40460618430558</v>
      </c>
      <c r="AC49" s="98">
        <v>404.84236337654539</v>
      </c>
      <c r="AD49" s="98">
        <v>477.05330633728909</v>
      </c>
      <c r="AE49" s="98">
        <v>644.75563066435973</v>
      </c>
      <c r="AF49" s="98">
        <v>981.76448431027973</v>
      </c>
      <c r="AG49" s="98">
        <v>694.6661847223121</v>
      </c>
      <c r="AH49" s="98">
        <v>494.45982420845883</v>
      </c>
    </row>
    <row r="50" spans="1:34" s="100" customFormat="1" x14ac:dyDescent="0.25">
      <c r="A50" s="102" t="s">
        <v>86</v>
      </c>
      <c r="B50" s="100">
        <v>1835598.6949040617</v>
      </c>
      <c r="C50" s="100">
        <v>1120683.8960600949</v>
      </c>
      <c r="D50" s="100">
        <v>1034588.6708055303</v>
      </c>
      <c r="E50" s="100">
        <v>892506.57385349285</v>
      </c>
      <c r="F50" s="100">
        <v>1049454.0879055948</v>
      </c>
      <c r="G50" s="100">
        <v>1345645.9201527485</v>
      </c>
      <c r="H50" s="100">
        <v>2119049.0609668423</v>
      </c>
      <c r="I50" s="100">
        <v>1100917.6223230448</v>
      </c>
      <c r="J50" s="100">
        <v>888372.10467142146</v>
      </c>
      <c r="K50" s="100">
        <v>637314.1782860253</v>
      </c>
      <c r="L50" s="100">
        <v>1257691.4462198319</v>
      </c>
      <c r="M50" s="100">
        <v>952360.74049642251</v>
      </c>
      <c r="N50" s="100">
        <v>989167.46147216379</v>
      </c>
      <c r="O50" s="100">
        <v>1228994.7035048837</v>
      </c>
      <c r="P50" s="100">
        <v>1171353.0226008878</v>
      </c>
      <c r="Q50" s="100">
        <v>1182778.3662365887</v>
      </c>
      <c r="R50" s="100">
        <v>902691.35936046089</v>
      </c>
      <c r="S50" s="100">
        <v>1295872.2239105501</v>
      </c>
      <c r="T50" s="100">
        <v>986126.04394217918</v>
      </c>
      <c r="U50" s="100">
        <v>880622.41913194163</v>
      </c>
      <c r="V50" s="100">
        <v>553269.56807672256</v>
      </c>
      <c r="W50" s="100">
        <v>505123.71742225689</v>
      </c>
      <c r="X50" s="100">
        <v>895701.90022679069</v>
      </c>
      <c r="Y50" s="100">
        <v>950837.9546564942</v>
      </c>
      <c r="Z50" s="100">
        <v>1235363.6241924132</v>
      </c>
      <c r="AA50" s="100">
        <v>768342.31407965801</v>
      </c>
      <c r="AB50" s="100">
        <v>646511.61105718336</v>
      </c>
      <c r="AC50" s="100">
        <v>1042691.3198619959</v>
      </c>
      <c r="AD50" s="100">
        <v>775564.9728326099</v>
      </c>
      <c r="AE50" s="100">
        <v>840056.81063856999</v>
      </c>
      <c r="AF50" s="100">
        <v>1349593.5470665162</v>
      </c>
      <c r="AG50" s="100">
        <v>1547191.4295611673</v>
      </c>
      <c r="AH50" s="100">
        <v>789571.62226799037</v>
      </c>
    </row>
    <row r="51" spans="1:34" s="103" customFormat="1" x14ac:dyDescent="0.25"/>
    <row r="52" spans="1:34" s="98" customFormat="1" x14ac:dyDescent="0.25">
      <c r="A52" s="98" t="s">
        <v>88</v>
      </c>
      <c r="B52" s="98">
        <v>5657.3329105707853</v>
      </c>
      <c r="C52" s="98">
        <v>3773.0653773734175</v>
      </c>
      <c r="D52" s="98">
        <v>3439.199111116518</v>
      </c>
      <c r="E52" s="98">
        <v>3659.2764582993432</v>
      </c>
      <c r="F52" s="98">
        <v>4530.3744651893849</v>
      </c>
      <c r="G52" s="98">
        <v>4137.9517550395012</v>
      </c>
      <c r="H52" s="98">
        <v>5394.0403214800535</v>
      </c>
      <c r="I52" s="98">
        <v>5420.8023702431992</v>
      </c>
      <c r="J52" s="98">
        <v>4787.1292997625515</v>
      </c>
      <c r="K52" s="98">
        <v>3122.2554007487356</v>
      </c>
      <c r="L52" s="98">
        <v>7449.9059914848667</v>
      </c>
      <c r="M52" s="98">
        <v>13210.92133935028</v>
      </c>
      <c r="N52" s="98">
        <v>6026.6060809326755</v>
      </c>
      <c r="O52" s="98">
        <v>6769.3563567609817</v>
      </c>
      <c r="P52" s="98">
        <v>5207.0448266388321</v>
      </c>
      <c r="Q52" s="98">
        <v>7136.6560747385047</v>
      </c>
      <c r="R52" s="98">
        <v>6905.4660142219973</v>
      </c>
      <c r="S52" s="98">
        <v>7346.0617822418772</v>
      </c>
      <c r="T52" s="98">
        <v>5816.2144358635651</v>
      </c>
      <c r="U52" s="98">
        <v>6926.0191143577349</v>
      </c>
      <c r="V52" s="98">
        <v>4822.2775006355778</v>
      </c>
      <c r="W52" s="98">
        <v>5912.8958618228953</v>
      </c>
      <c r="X52" s="98">
        <v>13615.788826122958</v>
      </c>
      <c r="Y52" s="98">
        <v>11717.173320494623</v>
      </c>
      <c r="Z52" s="98">
        <v>7368.0076624599133</v>
      </c>
      <c r="AA52" s="98">
        <v>8325.6398453106012</v>
      </c>
      <c r="AB52" s="98">
        <v>7341.5238574006416</v>
      </c>
      <c r="AC52" s="98">
        <v>9293.0735551621165</v>
      </c>
      <c r="AD52" s="98">
        <v>10212.518164083069</v>
      </c>
      <c r="AE52" s="98">
        <v>6119.9607044286367</v>
      </c>
      <c r="AF52" s="98">
        <v>10523.392444661782</v>
      </c>
      <c r="AG52" s="98">
        <v>6043.0981780818711</v>
      </c>
      <c r="AH52" s="98">
        <v>3907.2400787456108</v>
      </c>
    </row>
    <row r="53" spans="1:34" s="98" customFormat="1" x14ac:dyDescent="0.25">
      <c r="A53" s="101" t="s">
        <v>89</v>
      </c>
      <c r="B53" s="98">
        <v>182.41572618024765</v>
      </c>
      <c r="C53" s="98">
        <v>123.87648739524759</v>
      </c>
      <c r="D53" s="98">
        <v>130.40276698281588</v>
      </c>
      <c r="E53" s="98">
        <v>146.49653137804603</v>
      </c>
      <c r="F53" s="98">
        <v>209.23260735137364</v>
      </c>
      <c r="G53" s="98">
        <v>402.45035562089214</v>
      </c>
      <c r="H53" s="98">
        <v>343.06824261204582</v>
      </c>
      <c r="I53" s="98">
        <v>174.25275323570091</v>
      </c>
      <c r="J53" s="98">
        <v>168.6517653178467</v>
      </c>
      <c r="K53" s="98">
        <v>103.46962568078821</v>
      </c>
      <c r="L53" s="98">
        <v>185.71565064752079</v>
      </c>
      <c r="M53" s="98">
        <v>642.41487018546002</v>
      </c>
      <c r="N53" s="98">
        <v>304.59545164719975</v>
      </c>
      <c r="O53" s="98">
        <v>343.60168488073197</v>
      </c>
      <c r="P53" s="98">
        <v>347.92582409339371</v>
      </c>
      <c r="Q53" s="98">
        <v>389.09798189461065</v>
      </c>
      <c r="R53" s="98">
        <v>235.96279044749727</v>
      </c>
      <c r="S53" s="98">
        <v>244.50702690762307</v>
      </c>
      <c r="T53" s="98">
        <v>392.60561832725671</v>
      </c>
      <c r="U53" s="98">
        <v>390.74525534202866</v>
      </c>
      <c r="V53" s="98">
        <v>203.99982269049593</v>
      </c>
      <c r="W53" s="98">
        <v>213.55093447942357</v>
      </c>
      <c r="X53" s="98">
        <v>560.76847708041112</v>
      </c>
      <c r="Y53" s="98">
        <v>705.75817822076147</v>
      </c>
      <c r="Z53" s="98">
        <v>280.46726789869683</v>
      </c>
      <c r="AA53" s="98">
        <v>261.28682966883906</v>
      </c>
      <c r="AB53" s="98">
        <v>189.6293322094962</v>
      </c>
      <c r="AC53" s="98">
        <v>253.42969128542643</v>
      </c>
      <c r="AD53" s="98">
        <v>349.40716089702926</v>
      </c>
      <c r="AE53" s="98">
        <v>244.73247114917265</v>
      </c>
      <c r="AF53" s="98">
        <v>761.10629078550062</v>
      </c>
      <c r="AG53" s="98">
        <v>379.39335774687606</v>
      </c>
      <c r="AH53" s="98">
        <v>231.76732846229692</v>
      </c>
    </row>
    <row r="54" spans="1:34" s="100" customFormat="1" x14ac:dyDescent="0.25">
      <c r="A54" s="102" t="s">
        <v>90</v>
      </c>
      <c r="B54" s="100">
        <v>442947.7707967661</v>
      </c>
      <c r="C54" s="100">
        <v>340921.2569051006</v>
      </c>
      <c r="D54" s="100">
        <v>416123.0729936749</v>
      </c>
      <c r="E54" s="100">
        <v>291630.40503013221</v>
      </c>
      <c r="F54" s="100">
        <v>287300.36216551333</v>
      </c>
      <c r="G54" s="100">
        <v>666597.59641373612</v>
      </c>
      <c r="H54" s="100">
        <v>876715.54888080258</v>
      </c>
      <c r="I54" s="100">
        <v>269202.43673569238</v>
      </c>
      <c r="J54" s="100">
        <v>378611.9818089403</v>
      </c>
      <c r="K54" s="100">
        <v>226583.84756089072</v>
      </c>
      <c r="L54" s="100">
        <v>520242.68165861693</v>
      </c>
      <c r="M54" s="100">
        <v>544848.47586235311</v>
      </c>
      <c r="N54" s="100">
        <v>682902.79427187843</v>
      </c>
      <c r="O54" s="100">
        <v>413064.62379061425</v>
      </c>
      <c r="P54" s="100">
        <v>315504.41421442339</v>
      </c>
      <c r="Q54" s="100">
        <v>549437.05546612095</v>
      </c>
      <c r="R54" s="100">
        <v>653185.76112279296</v>
      </c>
      <c r="S54" s="100">
        <v>820183.47975584806</v>
      </c>
      <c r="T54" s="100">
        <v>746437.42248758592</v>
      </c>
      <c r="U54" s="100">
        <v>665202.09282894619</v>
      </c>
      <c r="V54" s="100">
        <v>374214.62641417398</v>
      </c>
      <c r="W54" s="100">
        <v>196608.65295489351</v>
      </c>
      <c r="X54" s="100">
        <v>712291.6657819656</v>
      </c>
      <c r="Y54" s="100">
        <v>614179.30784679204</v>
      </c>
      <c r="Z54" s="100">
        <v>797101.09143695515</v>
      </c>
      <c r="AA54" s="100">
        <v>407297.56359217101</v>
      </c>
      <c r="AB54" s="100">
        <v>221121.97556267513</v>
      </c>
      <c r="AC54" s="100">
        <v>616390.40105049254</v>
      </c>
      <c r="AD54" s="100">
        <v>829202.23247252021</v>
      </c>
      <c r="AE54" s="100">
        <v>720432.19338042964</v>
      </c>
      <c r="AF54" s="100">
        <v>1895297.2316603239</v>
      </c>
      <c r="AG54" s="100">
        <v>686287.65088847582</v>
      </c>
      <c r="AH54" s="100">
        <v>621330.07790679985</v>
      </c>
    </row>
    <row r="55" spans="1:34" s="103" customFormat="1" x14ac:dyDescent="0.25"/>
    <row r="56" spans="1:34" s="98" customFormat="1" x14ac:dyDescent="0.25">
      <c r="A56" s="98" t="s">
        <v>92</v>
      </c>
      <c r="B56" s="98">
        <v>18314.960909072863</v>
      </c>
      <c r="C56" s="98">
        <v>9510.7043510892272</v>
      </c>
      <c r="D56" s="98">
        <v>16582.161904708846</v>
      </c>
      <c r="E56" s="98">
        <v>10684.751181047786</v>
      </c>
      <c r="F56" s="98">
        <v>8290.5956003065476</v>
      </c>
      <c r="G56" s="98">
        <v>10261.699002379213</v>
      </c>
      <c r="H56" s="98">
        <v>14650.731404631799</v>
      </c>
      <c r="I56" s="98">
        <v>13785.371916863543</v>
      </c>
      <c r="J56" s="98">
        <v>12550.575034252182</v>
      </c>
      <c r="K56" s="98">
        <v>11601.196566614362</v>
      </c>
      <c r="L56" s="98">
        <v>10727.340231159802</v>
      </c>
      <c r="M56" s="98">
        <v>13638.344859644159</v>
      </c>
      <c r="N56" s="98">
        <v>14503.17159895011</v>
      </c>
      <c r="O56" s="98">
        <v>14624.463397228836</v>
      </c>
      <c r="P56" s="98">
        <v>15264.891966224306</v>
      </c>
      <c r="Q56" s="98">
        <v>7720.3216859617496</v>
      </c>
      <c r="R56" s="98">
        <v>7944.4497281426757</v>
      </c>
      <c r="S56" s="98">
        <v>7988.1784763307114</v>
      </c>
      <c r="T56" s="98">
        <v>7167.7221525901641</v>
      </c>
      <c r="U56" s="98">
        <v>6341.1464716601822</v>
      </c>
      <c r="V56" s="98">
        <v>6731.960880634093</v>
      </c>
      <c r="W56" s="98">
        <v>6349.0729908637286</v>
      </c>
      <c r="X56" s="98">
        <v>8844.351772301543</v>
      </c>
      <c r="Y56" s="98">
        <v>11866.135032344366</v>
      </c>
      <c r="Z56" s="98">
        <v>10487.893427873965</v>
      </c>
      <c r="AA56" s="98">
        <v>5829.645593505953</v>
      </c>
      <c r="AB56" s="98">
        <v>6314.8316926129701</v>
      </c>
      <c r="AC56" s="98">
        <v>7363.0897561724005</v>
      </c>
      <c r="AD56" s="98">
        <v>4828.8900644803098</v>
      </c>
      <c r="AE56" s="98">
        <v>3675.3153232534492</v>
      </c>
      <c r="AF56" s="98">
        <v>8257.3111253815296</v>
      </c>
      <c r="AG56" s="98">
        <v>7921.207652221332</v>
      </c>
      <c r="AH56" s="98">
        <v>5627.5609732966568</v>
      </c>
    </row>
    <row r="57" spans="1:34" s="98" customFormat="1" x14ac:dyDescent="0.25">
      <c r="A57" s="101" t="s">
        <v>93</v>
      </c>
      <c r="B57" s="98">
        <v>380.86964614800621</v>
      </c>
      <c r="C57" s="98">
        <v>287.39597766031284</v>
      </c>
      <c r="D57" s="98">
        <v>317.76903922305797</v>
      </c>
      <c r="E57" s="98">
        <v>430.53641080861792</v>
      </c>
      <c r="F57" s="98">
        <v>374.42650481554034</v>
      </c>
      <c r="G57" s="98">
        <v>516.90992976708935</v>
      </c>
      <c r="H57" s="98">
        <v>609.55446542755908</v>
      </c>
      <c r="I57" s="98">
        <v>406.202106932812</v>
      </c>
      <c r="J57" s="98">
        <v>211.11253790090134</v>
      </c>
      <c r="K57" s="98">
        <v>293.75899075604048</v>
      </c>
      <c r="L57" s="98">
        <v>406.75695981753807</v>
      </c>
      <c r="M57" s="98">
        <v>479.36621083426121</v>
      </c>
      <c r="N57" s="98">
        <v>275.34781654496487</v>
      </c>
      <c r="O57" s="98">
        <v>406.50918032583797</v>
      </c>
      <c r="P57" s="98">
        <v>347.59454957740371</v>
      </c>
      <c r="Q57" s="98">
        <v>212.24854036297606</v>
      </c>
      <c r="R57" s="98">
        <v>257.45011929321805</v>
      </c>
      <c r="S57" s="98">
        <v>317.96150100085987</v>
      </c>
      <c r="T57" s="98">
        <v>242.05698091740263</v>
      </c>
      <c r="U57" s="98">
        <v>253.13760580290642</v>
      </c>
      <c r="V57" s="98">
        <v>163.3686663136306</v>
      </c>
      <c r="W57" s="98">
        <v>254.84128903140302</v>
      </c>
      <c r="X57" s="98">
        <v>230.92167364894229</v>
      </c>
      <c r="Y57" s="98">
        <v>530.99903423801038</v>
      </c>
      <c r="Z57" s="98">
        <v>335.25863492724602</v>
      </c>
      <c r="AA57" s="98">
        <v>222.48264802620062</v>
      </c>
      <c r="AB57" s="98">
        <v>231.60780695964144</v>
      </c>
      <c r="AC57" s="98">
        <v>139.89580833962759</v>
      </c>
      <c r="AD57" s="98">
        <v>177.44158374039583</v>
      </c>
      <c r="AE57" s="98">
        <v>162.40502037158026</v>
      </c>
      <c r="AF57" s="98">
        <v>382.09810325153506</v>
      </c>
      <c r="AG57" s="98">
        <v>187.71603919024693</v>
      </c>
      <c r="AH57" s="98">
        <v>127.79455492144032</v>
      </c>
    </row>
    <row r="58" spans="1:34" s="100" customFormat="1" x14ac:dyDescent="0.25">
      <c r="A58" s="102" t="s">
        <v>94</v>
      </c>
      <c r="B58" s="100">
        <v>849412.77423830726</v>
      </c>
      <c r="C58" s="100">
        <v>602189.47845890722</v>
      </c>
      <c r="D58" s="100">
        <v>686809.80079683871</v>
      </c>
      <c r="E58" s="100">
        <v>634861.09665208799</v>
      </c>
      <c r="F58" s="100">
        <v>599189.37745796645</v>
      </c>
      <c r="G58" s="100">
        <v>681383.33767701592</v>
      </c>
      <c r="H58" s="100">
        <v>623741.93770626048</v>
      </c>
      <c r="I58" s="100">
        <v>553988.65446300094</v>
      </c>
      <c r="J58" s="100">
        <v>444515.75140449969</v>
      </c>
      <c r="K58" s="100">
        <v>537312.26792503858</v>
      </c>
      <c r="L58" s="100">
        <v>431761.27779974358</v>
      </c>
      <c r="M58" s="100">
        <v>437141.52849836077</v>
      </c>
      <c r="N58" s="100">
        <v>396359.62661954848</v>
      </c>
      <c r="O58" s="100">
        <v>507384.49429657543</v>
      </c>
      <c r="P58" s="100">
        <v>410395.80568672228</v>
      </c>
      <c r="Q58" s="100">
        <v>450682.18164387561</v>
      </c>
      <c r="R58" s="100">
        <v>587016.68106953183</v>
      </c>
      <c r="S58" s="100">
        <v>560643.01513041381</v>
      </c>
      <c r="T58" s="100">
        <v>538613.85612843046</v>
      </c>
      <c r="U58" s="100">
        <v>496963.62873866345</v>
      </c>
      <c r="V58" s="100">
        <v>304665.28764967294</v>
      </c>
      <c r="W58" s="100">
        <v>227514.62437959085</v>
      </c>
      <c r="X58" s="100">
        <v>357754.75969624473</v>
      </c>
      <c r="Y58" s="100">
        <v>615819.16448696272</v>
      </c>
      <c r="Z58" s="100">
        <v>347417.38914659881</v>
      </c>
      <c r="AA58" s="100">
        <v>402503.55636583344</v>
      </c>
      <c r="AB58" s="100">
        <v>297535.71497109911</v>
      </c>
      <c r="AC58" s="100">
        <v>222064.48928846529</v>
      </c>
      <c r="AD58" s="100">
        <v>350606.71894280741</v>
      </c>
      <c r="AE58" s="100">
        <v>329543.39415198198</v>
      </c>
      <c r="AF58" s="100">
        <v>457862.38922047522</v>
      </c>
      <c r="AG58" s="100">
        <v>359016.81085995521</v>
      </c>
      <c r="AH58" s="100">
        <v>134558.79699381077</v>
      </c>
    </row>
    <row r="59" spans="1:34" s="103" customFormat="1" x14ac:dyDescent="0.25"/>
    <row r="60" spans="1:34" s="98" customFormat="1" x14ac:dyDescent="0.25">
      <c r="A60" s="98" t="s">
        <v>96</v>
      </c>
      <c r="B60" s="98">
        <v>3483.4639466776839</v>
      </c>
      <c r="C60" s="98">
        <v>1680.6225823777943</v>
      </c>
      <c r="D60" s="98">
        <v>2019.4589281801218</v>
      </c>
      <c r="E60" s="98">
        <v>2973.4074245937641</v>
      </c>
      <c r="F60" s="98">
        <v>2672.2617142834483</v>
      </c>
      <c r="G60" s="98">
        <v>2596.7484890029446</v>
      </c>
      <c r="H60" s="98">
        <v>2219.2743260329439</v>
      </c>
      <c r="I60" s="98">
        <v>3524.3619584396388</v>
      </c>
      <c r="J60" s="98">
        <v>2385.4879761436382</v>
      </c>
      <c r="K60" s="98">
        <v>3301.291316704885</v>
      </c>
      <c r="L60" s="98">
        <v>2487.9693552651297</v>
      </c>
      <c r="M60" s="98">
        <v>2534.1034898261805</v>
      </c>
      <c r="N60" s="98">
        <v>2929.7293391473122</v>
      </c>
      <c r="O60" s="98">
        <v>3466.21970367928</v>
      </c>
      <c r="P60" s="98">
        <v>2555.4011925018144</v>
      </c>
      <c r="Q60" s="98">
        <v>3115.3649726195586</v>
      </c>
      <c r="R60" s="98">
        <v>1883.7561551300328</v>
      </c>
      <c r="S60" s="98">
        <v>3218.6291573533053</v>
      </c>
      <c r="T60" s="98">
        <v>2576.5747066278041</v>
      </c>
      <c r="U60" s="98">
        <v>1747.4187655188648</v>
      </c>
      <c r="V60" s="98">
        <v>2112.802179334677</v>
      </c>
      <c r="W60" s="98">
        <v>2474.6304297081724</v>
      </c>
      <c r="X60" s="98">
        <v>3359.240260551775</v>
      </c>
      <c r="Y60" s="98">
        <v>2272.6276424482335</v>
      </c>
      <c r="Z60" s="98">
        <v>4211.254499724042</v>
      </c>
      <c r="AA60" s="98">
        <v>2791.4460447302067</v>
      </c>
      <c r="AB60" s="98">
        <v>2049.2602823089937</v>
      </c>
      <c r="AC60" s="98">
        <v>2387.4887798087912</v>
      </c>
      <c r="AD60" s="98">
        <v>2259.6302520013892</v>
      </c>
      <c r="AE60" s="98">
        <v>1766.9667256817704</v>
      </c>
      <c r="AF60" s="98">
        <v>1372.4416641851121</v>
      </c>
      <c r="AG60" s="98">
        <v>1950.4894997378078</v>
      </c>
      <c r="AH60" s="98">
        <v>1859.8367162846828</v>
      </c>
    </row>
    <row r="61" spans="1:34" s="98" customFormat="1" x14ac:dyDescent="0.25">
      <c r="A61" s="101" t="s">
        <v>97</v>
      </c>
      <c r="B61" s="98">
        <v>51.56565077064009</v>
      </c>
      <c r="C61" s="98">
        <v>28.034770372823662</v>
      </c>
      <c r="D61" s="98">
        <v>54.38218375988717</v>
      </c>
      <c r="E61" s="98">
        <v>39.211219051125077</v>
      </c>
      <c r="F61" s="98">
        <v>38.148464304931878</v>
      </c>
      <c r="G61" s="98">
        <v>85.871250665902011</v>
      </c>
      <c r="H61" s="98">
        <v>71.927398892743625</v>
      </c>
      <c r="I61" s="98">
        <v>59.419735624494777</v>
      </c>
      <c r="J61" s="98">
        <v>52.668106877018715</v>
      </c>
      <c r="K61" s="98">
        <v>60.171667181373621</v>
      </c>
      <c r="L61" s="98">
        <v>67.965752628608001</v>
      </c>
      <c r="M61" s="98">
        <v>44.672764780938166</v>
      </c>
      <c r="N61" s="98">
        <v>48.940333246354037</v>
      </c>
      <c r="O61" s="98">
        <v>66.511958136205806</v>
      </c>
      <c r="P61" s="98">
        <v>31.827529008200116</v>
      </c>
      <c r="Q61" s="98">
        <v>32.166954213801972</v>
      </c>
      <c r="R61" s="98">
        <v>56.13689035467241</v>
      </c>
      <c r="S61" s="98">
        <v>32.179335034542191</v>
      </c>
      <c r="T61" s="98">
        <v>42.219998143577257</v>
      </c>
      <c r="U61" s="98">
        <v>31.209167191224971</v>
      </c>
      <c r="V61" s="98">
        <v>33.143758222531126</v>
      </c>
      <c r="W61" s="98">
        <v>37.482870068719109</v>
      </c>
      <c r="X61" s="98">
        <v>48.088721285036513</v>
      </c>
      <c r="Y61" s="98">
        <v>63.09783609522534</v>
      </c>
      <c r="Z61" s="98">
        <v>50.522412134534299</v>
      </c>
      <c r="AA61" s="98">
        <v>41.803114839829625</v>
      </c>
      <c r="AB61" s="98">
        <v>29.959761153972924</v>
      </c>
      <c r="AC61" s="98">
        <v>37.584902216490271</v>
      </c>
      <c r="AD61" s="98">
        <v>24.346475588692275</v>
      </c>
      <c r="AE61" s="98">
        <v>31.19396486375993</v>
      </c>
      <c r="AF61" s="98">
        <v>21.310938355117344</v>
      </c>
      <c r="AG61" s="98">
        <v>34.219654274647311</v>
      </c>
      <c r="AH61" s="98">
        <v>41.266273305045658</v>
      </c>
    </row>
    <row r="62" spans="1:34" s="100" customFormat="1" x14ac:dyDescent="0.25">
      <c r="A62" s="102" t="s">
        <v>98</v>
      </c>
      <c r="B62" s="100">
        <v>91645.796068085649</v>
      </c>
      <c r="C62" s="100">
        <v>101458.76789859156</v>
      </c>
      <c r="D62" s="100">
        <v>197462.5942483744</v>
      </c>
      <c r="E62" s="100">
        <v>70235.084907117562</v>
      </c>
      <c r="F62" s="100">
        <v>70856.595596914718</v>
      </c>
      <c r="G62" s="100">
        <v>145456.24975712132</v>
      </c>
      <c r="H62" s="100">
        <v>165179.7547645068</v>
      </c>
      <c r="I62" s="100">
        <v>74008.359483780834</v>
      </c>
      <c r="J62" s="100">
        <v>59722.867776248415</v>
      </c>
      <c r="K62" s="100">
        <v>101676.43506603446</v>
      </c>
      <c r="L62" s="100">
        <v>63639.070269675387</v>
      </c>
      <c r="M62" s="100">
        <v>71748.723582173465</v>
      </c>
      <c r="N62" s="100">
        <v>57722.259433972096</v>
      </c>
      <c r="O62" s="100">
        <v>82600.001130297329</v>
      </c>
      <c r="P62" s="100">
        <v>58140.782530607314</v>
      </c>
      <c r="Q62" s="100">
        <v>31499.620686587841</v>
      </c>
      <c r="R62" s="100">
        <v>58686.257900741271</v>
      </c>
      <c r="S62" s="100">
        <v>39608.599738929493</v>
      </c>
      <c r="T62" s="100">
        <v>76141.180076596385</v>
      </c>
      <c r="U62" s="100">
        <v>39071.023887336021</v>
      </c>
      <c r="V62" s="100">
        <v>24632.858436211358</v>
      </c>
      <c r="W62" s="100">
        <v>137361.3842466372</v>
      </c>
      <c r="X62" s="100">
        <v>44653.446212739291</v>
      </c>
      <c r="Y62" s="100">
        <v>98797.192640842943</v>
      </c>
      <c r="Z62" s="100">
        <v>47904.342816061224</v>
      </c>
      <c r="AA62" s="100">
        <v>59219.398213215172</v>
      </c>
      <c r="AB62" s="100">
        <v>39342.261151241823</v>
      </c>
      <c r="AC62" s="100">
        <v>27227.520171561766</v>
      </c>
      <c r="AD62" s="100">
        <v>26516.673983668934</v>
      </c>
      <c r="AE62" s="100">
        <v>39611.596313990813</v>
      </c>
      <c r="AF62" s="100">
        <v>21125.67068531672</v>
      </c>
      <c r="AG62" s="100">
        <v>54726.659446592421</v>
      </c>
      <c r="AH62" s="100">
        <v>35891.590446824041</v>
      </c>
    </row>
    <row r="63" spans="1:34" s="103" customFormat="1" x14ac:dyDescent="0.25"/>
    <row r="65" spans="1:34" s="98" customFormat="1" x14ac:dyDescent="0.25">
      <c r="A65" s="98" t="s">
        <v>100</v>
      </c>
      <c r="B65" s="98">
        <v>30006.167827085679</v>
      </c>
      <c r="C65" s="98">
        <v>7492.3768917888874</v>
      </c>
      <c r="D65" s="98">
        <v>5512.0706171886641</v>
      </c>
      <c r="E65" s="98">
        <v>11225.170912621212</v>
      </c>
      <c r="F65" s="98">
        <v>28800.943826209659</v>
      </c>
      <c r="G65" s="98">
        <v>7508.7586721277876</v>
      </c>
      <c r="H65" s="98">
        <v>12786.629725245568</v>
      </c>
      <c r="I65" s="98">
        <v>6050.686007427702</v>
      </c>
      <c r="J65" s="98">
        <v>12327.664006963312</v>
      </c>
      <c r="K65" s="98">
        <v>7216.2251499658405</v>
      </c>
      <c r="L65" s="98">
        <v>31600.73266978659</v>
      </c>
      <c r="M65" s="98">
        <v>17940.773447547534</v>
      </c>
      <c r="N65" s="98">
        <v>22139.884437094017</v>
      </c>
      <c r="O65" s="98">
        <v>10645.168677871547</v>
      </c>
      <c r="P65" s="98">
        <v>4385.4945732518945</v>
      </c>
      <c r="Q65" s="98">
        <v>11361.202161355293</v>
      </c>
      <c r="R65" s="98">
        <v>12924.713617459111</v>
      </c>
      <c r="S65" s="98">
        <v>33484.187769470234</v>
      </c>
      <c r="T65" s="98">
        <v>19762.312955148052</v>
      </c>
      <c r="U65" s="98">
        <v>7074.5301366691647</v>
      </c>
      <c r="V65" s="98">
        <v>8445.8792165399827</v>
      </c>
      <c r="W65" s="98">
        <v>9235.1564651480548</v>
      </c>
      <c r="X65" s="98">
        <v>41000.570072374889</v>
      </c>
      <c r="Y65" s="98">
        <v>30069.363528783462</v>
      </c>
      <c r="Z65" s="98">
        <v>28521.089034146233</v>
      </c>
      <c r="AA65" s="98">
        <v>15032.704874484027</v>
      </c>
      <c r="AB65" s="98">
        <v>5301.5204558602672</v>
      </c>
      <c r="AC65" s="98">
        <v>23525.112917673232</v>
      </c>
      <c r="AD65" s="98">
        <v>8136.3129005756173</v>
      </c>
      <c r="AE65" s="98">
        <v>26073.192034503838</v>
      </c>
      <c r="AF65" s="98">
        <v>36834.952083391552</v>
      </c>
      <c r="AG65" s="98">
        <v>22787.702388508671</v>
      </c>
      <c r="AH65" s="98">
        <v>18793.84640259976</v>
      </c>
    </row>
    <row r="66" spans="1:34" s="98" customFormat="1" x14ac:dyDescent="0.25">
      <c r="A66" s="101" t="s">
        <v>101</v>
      </c>
      <c r="B66" s="98">
        <v>254.20503372941201</v>
      </c>
      <c r="C66" s="98">
        <v>123.71471656328733</v>
      </c>
      <c r="D66" s="98">
        <v>123.28616988291905</v>
      </c>
      <c r="E66" s="98">
        <v>100.89254844142054</v>
      </c>
      <c r="F66" s="98">
        <v>260.62997721523959</v>
      </c>
      <c r="G66" s="98">
        <v>220.06626108017218</v>
      </c>
      <c r="H66" s="98">
        <v>201.43936830871129</v>
      </c>
      <c r="I66" s="98">
        <v>100.05093015899101</v>
      </c>
      <c r="J66" s="98">
        <v>230.09293928859992</v>
      </c>
      <c r="K66" s="98">
        <v>257.44127729303392</v>
      </c>
      <c r="L66" s="98">
        <v>154.89466227898643</v>
      </c>
      <c r="M66" s="98">
        <v>478.50629391820644</v>
      </c>
      <c r="N66" s="98">
        <v>423.32279510743751</v>
      </c>
      <c r="O66" s="98">
        <v>218.00653859075274</v>
      </c>
      <c r="P66" s="98">
        <v>144.54430444161821</v>
      </c>
      <c r="Q66" s="98">
        <v>123.4807414773572</v>
      </c>
      <c r="R66" s="98">
        <v>221.1051065586561</v>
      </c>
      <c r="S66" s="98">
        <v>382.6058632701816</v>
      </c>
      <c r="T66" s="98">
        <v>758.56713866997393</v>
      </c>
      <c r="U66" s="98">
        <v>246.27125225053464</v>
      </c>
      <c r="V66" s="98">
        <v>237.19048997666809</v>
      </c>
      <c r="W66" s="98">
        <v>268.24209416333889</v>
      </c>
      <c r="X66" s="98">
        <v>609.0425787423934</v>
      </c>
      <c r="Y66" s="98">
        <v>703.39133431963353</v>
      </c>
      <c r="Z66" s="98">
        <v>468.24671447728247</v>
      </c>
      <c r="AA66" s="98">
        <v>240.75136072805623</v>
      </c>
      <c r="AB66" s="98">
        <v>123.16496147445095</v>
      </c>
      <c r="AC66" s="98">
        <v>452.29005459135772</v>
      </c>
      <c r="AD66" s="98">
        <v>161.8882608512688</v>
      </c>
      <c r="AE66" s="98">
        <v>244.664323700024</v>
      </c>
      <c r="AF66" s="98">
        <v>725.21636687646833</v>
      </c>
      <c r="AG66" s="98">
        <v>335.20466471698171</v>
      </c>
      <c r="AH66" s="98">
        <v>234.92141259915661</v>
      </c>
    </row>
    <row r="67" spans="1:34" s="100" customFormat="1" x14ac:dyDescent="0.25">
      <c r="A67" s="102" t="s">
        <v>102</v>
      </c>
      <c r="B67" s="100">
        <v>393166.17261303618</v>
      </c>
      <c r="C67" s="100">
        <v>173821.21551101891</v>
      </c>
      <c r="D67" s="100">
        <v>158319.96490103213</v>
      </c>
      <c r="E67" s="100">
        <v>285063.27251903806</v>
      </c>
      <c r="F67" s="100">
        <v>430139.28738142888</v>
      </c>
      <c r="G67" s="100">
        <v>509747.99754675414</v>
      </c>
      <c r="H67" s="100">
        <v>438666.98556259781</v>
      </c>
      <c r="I67" s="100">
        <v>192508.95956078314</v>
      </c>
      <c r="J67" s="100">
        <v>449472.62441773701</v>
      </c>
      <c r="K67" s="100">
        <v>382138.05262530589</v>
      </c>
      <c r="L67" s="100">
        <v>175194.82356502919</v>
      </c>
      <c r="M67" s="100">
        <v>390347.08526002226</v>
      </c>
      <c r="N67" s="100">
        <v>575842.45165432745</v>
      </c>
      <c r="O67" s="100">
        <v>265897.35466991307</v>
      </c>
      <c r="P67" s="100">
        <v>185853.99764931103</v>
      </c>
      <c r="Q67" s="100">
        <v>180721.39294793282</v>
      </c>
      <c r="R67" s="100">
        <v>332621.77251166361</v>
      </c>
      <c r="S67" s="100">
        <v>367290.4175423698</v>
      </c>
      <c r="T67" s="100">
        <v>388850.52349849482</v>
      </c>
      <c r="U67" s="100">
        <v>281980.57295975502</v>
      </c>
      <c r="V67" s="100">
        <v>367864.44682965404</v>
      </c>
      <c r="W67" s="100">
        <v>269138.74315253517</v>
      </c>
      <c r="X67" s="100">
        <v>537438.38694456907</v>
      </c>
      <c r="Y67" s="100">
        <v>690214.37368807895</v>
      </c>
      <c r="Z67" s="100">
        <v>497745.89646154025</v>
      </c>
      <c r="AA67" s="100">
        <v>222622.5511099865</v>
      </c>
      <c r="AB67" s="100">
        <v>253688.0040298118</v>
      </c>
      <c r="AC67" s="100">
        <v>695506.49123334186</v>
      </c>
      <c r="AD67" s="100">
        <v>221054.01880804036</v>
      </c>
      <c r="AE67" s="100">
        <v>364691.42106532655</v>
      </c>
      <c r="AF67" s="100">
        <v>966865.89220894605</v>
      </c>
      <c r="AG67" s="100">
        <v>316456.84693050833</v>
      </c>
      <c r="AH67" s="100">
        <v>210963.02599513953</v>
      </c>
    </row>
    <row r="68" spans="1:34" s="103" customFormat="1" x14ac:dyDescent="0.25"/>
    <row r="70" spans="1:34" s="98" customFormat="1" x14ac:dyDescent="0.25">
      <c r="A70" s="98" t="s">
        <v>104</v>
      </c>
      <c r="B70" s="98">
        <v>63031.516501428327</v>
      </c>
      <c r="C70" s="98">
        <v>45989.119531982615</v>
      </c>
      <c r="D70" s="98">
        <v>62683.173929836768</v>
      </c>
      <c r="E70" s="98">
        <v>33687.172263820525</v>
      </c>
      <c r="F70" s="98">
        <v>32061.480016756555</v>
      </c>
      <c r="G70" s="98">
        <v>48986.779954657482</v>
      </c>
      <c r="H70" s="98">
        <v>26806.694056121269</v>
      </c>
      <c r="I70" s="98">
        <v>34194.530349604538</v>
      </c>
      <c r="J70" s="98">
        <v>31069.247355513631</v>
      </c>
      <c r="K70" s="98">
        <v>71311.918255443539</v>
      </c>
      <c r="L70" s="98">
        <v>36338.71642555904</v>
      </c>
      <c r="M70" s="98">
        <v>77470.338497748977</v>
      </c>
      <c r="N70" s="98">
        <v>57569.468059129758</v>
      </c>
      <c r="O70" s="98">
        <v>43252.298124434186</v>
      </c>
      <c r="P70" s="98">
        <v>48671.333536035643</v>
      </c>
      <c r="Q70" s="98">
        <v>49798.051188657169</v>
      </c>
      <c r="R70" s="98">
        <v>39665.167851089718</v>
      </c>
      <c r="S70" s="98">
        <v>43164.894123769198</v>
      </c>
      <c r="T70" s="98">
        <v>27051.12083325471</v>
      </c>
      <c r="U70" s="98">
        <v>22305.048053376115</v>
      </c>
      <c r="V70" s="98">
        <v>28821.019720576704</v>
      </c>
      <c r="W70" s="98">
        <v>61869.717307270796</v>
      </c>
      <c r="X70" s="98">
        <v>45459.01358747964</v>
      </c>
      <c r="Y70" s="98">
        <v>52086.904454532036</v>
      </c>
      <c r="Z70" s="98">
        <v>58261.373448069353</v>
      </c>
      <c r="AA70" s="98">
        <v>21162.93462439251</v>
      </c>
      <c r="AB70" s="98">
        <v>31541.838999351949</v>
      </c>
      <c r="AC70" s="98">
        <v>27561.265142519718</v>
      </c>
      <c r="AD70" s="98">
        <v>26147.82619014693</v>
      </c>
      <c r="AE70" s="98">
        <v>17205.480499437828</v>
      </c>
      <c r="AF70" s="98">
        <v>25381.163751351902</v>
      </c>
      <c r="AG70" s="98">
        <v>17225.168200363525</v>
      </c>
      <c r="AH70" s="98">
        <v>21490.637922366568</v>
      </c>
    </row>
    <row r="71" spans="1:34" s="98" customFormat="1" x14ac:dyDescent="0.25">
      <c r="A71" s="101" t="s">
        <v>105</v>
      </c>
      <c r="B71" s="98">
        <v>355.9639525963928</v>
      </c>
      <c r="C71" s="98">
        <v>446.73670708571683</v>
      </c>
      <c r="D71" s="98">
        <v>986.41354453211602</v>
      </c>
      <c r="E71" s="98">
        <v>631.53779992649334</v>
      </c>
      <c r="F71" s="98">
        <v>420.05906675168006</v>
      </c>
      <c r="G71" s="98">
        <v>332.45160592996416</v>
      </c>
      <c r="H71" s="98">
        <v>266.72917426216748</v>
      </c>
      <c r="I71" s="98">
        <v>456.41221789973054</v>
      </c>
      <c r="J71" s="98">
        <v>265.95624267577028</v>
      </c>
      <c r="K71" s="98">
        <v>2037.404637585875</v>
      </c>
      <c r="L71" s="98">
        <v>641.6487227649443</v>
      </c>
      <c r="M71" s="98">
        <v>793.42624222376401</v>
      </c>
      <c r="N71" s="98">
        <v>282.75966658679732</v>
      </c>
      <c r="O71" s="98">
        <v>403.87557360983959</v>
      </c>
      <c r="P71" s="98">
        <v>636.38389417449503</v>
      </c>
      <c r="Q71" s="98">
        <v>505.95670190410112</v>
      </c>
      <c r="R71" s="98">
        <v>391.1534483819147</v>
      </c>
      <c r="S71" s="98">
        <v>383.63483318987375</v>
      </c>
      <c r="T71" s="98">
        <v>446.76828391499083</v>
      </c>
      <c r="U71" s="98">
        <v>444.2583050938311</v>
      </c>
      <c r="V71" s="98">
        <v>284.12956593611318</v>
      </c>
      <c r="W71" s="98">
        <v>1901.9238995784187</v>
      </c>
      <c r="X71" s="98">
        <v>655.37150636443607</v>
      </c>
      <c r="Y71" s="98">
        <v>521.11363831020606</v>
      </c>
      <c r="Z71" s="98">
        <v>407.85577199348967</v>
      </c>
      <c r="AA71" s="98">
        <v>264.02715183985424</v>
      </c>
      <c r="AB71" s="98">
        <v>687.46522126351476</v>
      </c>
      <c r="AC71" s="98">
        <v>340.24707376454461</v>
      </c>
      <c r="AD71" s="98">
        <v>445.22474859344743</v>
      </c>
      <c r="AE71" s="98">
        <v>317.46751151546789</v>
      </c>
      <c r="AF71" s="98">
        <v>244.23158145610481</v>
      </c>
      <c r="AG71" s="98">
        <v>309.15242578331453</v>
      </c>
      <c r="AH71" s="98">
        <v>180.42862343396118</v>
      </c>
    </row>
    <row r="72" spans="1:34" s="100" customFormat="1" x14ac:dyDescent="0.25">
      <c r="A72" s="102" t="s">
        <v>106</v>
      </c>
      <c r="B72" s="100">
        <v>1129423.5331243407</v>
      </c>
      <c r="C72" s="100">
        <v>470805.71803971677</v>
      </c>
      <c r="D72" s="100">
        <v>1184977.6838824763</v>
      </c>
      <c r="E72" s="100">
        <v>974110.72899960633</v>
      </c>
      <c r="F72" s="100">
        <v>940893.7328994252</v>
      </c>
      <c r="G72" s="100">
        <v>760459.73847214156</v>
      </c>
      <c r="H72" s="100">
        <v>705951.70547438483</v>
      </c>
      <c r="I72" s="100">
        <v>662071.87343675934</v>
      </c>
      <c r="J72" s="100">
        <v>566162.74671145133</v>
      </c>
      <c r="K72" s="100">
        <v>2192852.5224639755</v>
      </c>
      <c r="L72" s="100">
        <v>885749.5230505194</v>
      </c>
      <c r="M72" s="100">
        <v>901659.91060381464</v>
      </c>
      <c r="N72" s="100">
        <v>586295.27770451561</v>
      </c>
      <c r="O72" s="100">
        <v>427360.01812162617</v>
      </c>
      <c r="P72" s="100">
        <v>1529313.1878204725</v>
      </c>
      <c r="Q72" s="100">
        <v>421456.21991841309</v>
      </c>
      <c r="R72" s="100">
        <v>618216.25078573066</v>
      </c>
      <c r="S72" s="100">
        <v>530240.84567406564</v>
      </c>
      <c r="T72" s="100">
        <v>598849.37024227052</v>
      </c>
      <c r="U72" s="100">
        <v>425919.30102656217</v>
      </c>
      <c r="V72" s="100">
        <v>589392.39361071866</v>
      </c>
      <c r="W72" s="100">
        <v>2775659.5749212289</v>
      </c>
      <c r="X72" s="100">
        <v>511218.14458260383</v>
      </c>
      <c r="Y72" s="100">
        <v>719754.4396043903</v>
      </c>
      <c r="Z72" s="100">
        <v>520195.3887720647</v>
      </c>
      <c r="AA72" s="100">
        <v>416525.55654642894</v>
      </c>
      <c r="AB72" s="100">
        <v>1107369.5836454709</v>
      </c>
      <c r="AC72" s="100">
        <v>659841.81950346567</v>
      </c>
      <c r="AD72" s="100">
        <v>930667.5957094616</v>
      </c>
      <c r="AE72" s="100">
        <v>440137.49655331753</v>
      </c>
      <c r="AF72" s="100">
        <v>638038.34755116049</v>
      </c>
      <c r="AG72" s="100">
        <v>667548.28006341239</v>
      </c>
      <c r="AH72" s="100">
        <v>380685.35207889689</v>
      </c>
    </row>
    <row r="73" spans="1:34" s="103" customFormat="1" x14ac:dyDescent="0.25"/>
    <row r="76" spans="1:34" x14ac:dyDescent="0.25">
      <c r="A76" s="89" t="s">
        <v>138</v>
      </c>
    </row>
    <row r="77" spans="1:34" s="104" customFormat="1" x14ac:dyDescent="0.25">
      <c r="A77" s="104" t="s">
        <v>117</v>
      </c>
      <c r="B77" s="104">
        <v>4198.8632490171794</v>
      </c>
      <c r="C77" s="104">
        <v>2655.8740433360845</v>
      </c>
      <c r="D77" s="104">
        <v>2883.6311791714302</v>
      </c>
      <c r="E77" s="104">
        <v>3565.2853746186493</v>
      </c>
      <c r="F77" s="104">
        <v>3897.295056667052</v>
      </c>
      <c r="G77" s="104">
        <v>2174.6490036846185</v>
      </c>
      <c r="H77" s="104">
        <v>2456.2066218627288</v>
      </c>
      <c r="I77" s="104">
        <v>2412.3216351336773</v>
      </c>
      <c r="J77" s="104">
        <v>1920.1216254344401</v>
      </c>
      <c r="K77" s="104">
        <v>3057.8264440412604</v>
      </c>
      <c r="L77" s="104">
        <v>4539.3324714243345</v>
      </c>
      <c r="M77" s="104">
        <v>5917.5748993010766</v>
      </c>
      <c r="N77" s="104">
        <v>4061.001870042006</v>
      </c>
      <c r="O77" s="104">
        <v>5781.6322869756214</v>
      </c>
      <c r="P77" s="104">
        <v>3622.4423822536719</v>
      </c>
      <c r="Q77" s="104">
        <v>3213.7130997182335</v>
      </c>
      <c r="R77" s="104">
        <v>3271.8356815477755</v>
      </c>
      <c r="S77" s="104">
        <v>4233.2322766951565</v>
      </c>
      <c r="T77" s="104">
        <v>4358.6522987551516</v>
      </c>
      <c r="U77" s="104">
        <v>2377.2084709426472</v>
      </c>
      <c r="V77" s="104">
        <v>3746.9504508873638</v>
      </c>
      <c r="W77" s="104">
        <v>4357.5618067866471</v>
      </c>
      <c r="X77" s="104">
        <v>6153.5551628038438</v>
      </c>
      <c r="Y77" s="104">
        <v>5664.0362333614266</v>
      </c>
      <c r="Z77" s="104">
        <v>6723.4225809974432</v>
      </c>
      <c r="AA77" s="104">
        <v>3696.0682690289959</v>
      </c>
      <c r="AB77" s="104">
        <v>12017.152875983407</v>
      </c>
      <c r="AC77" s="104">
        <v>8332.2973719576203</v>
      </c>
      <c r="AD77" s="104">
        <v>3598.3576297965965</v>
      </c>
      <c r="AE77" s="104">
        <v>6222.2402808097395</v>
      </c>
      <c r="AF77" s="104">
        <v>5739.4588879010771</v>
      </c>
      <c r="AG77" s="104">
        <v>4050.9434204709296</v>
      </c>
      <c r="AH77" s="104">
        <v>4639.8031465263339</v>
      </c>
    </row>
    <row r="78" spans="1:34" s="98" customFormat="1" x14ac:dyDescent="0.25">
      <c r="A78" s="98" t="s">
        <v>118</v>
      </c>
      <c r="B78" s="98">
        <v>44986.55687495313</v>
      </c>
      <c r="C78" s="98">
        <v>33756.127372127477</v>
      </c>
      <c r="D78" s="98">
        <v>38676.906396620332</v>
      </c>
      <c r="E78" s="98">
        <v>23314.558635540649</v>
      </c>
      <c r="F78" s="98">
        <v>41440.166406439239</v>
      </c>
      <c r="G78" s="98">
        <v>29748.075422209113</v>
      </c>
      <c r="H78" s="98">
        <v>18446.880193431094</v>
      </c>
      <c r="I78" s="98">
        <v>22695.217717351439</v>
      </c>
      <c r="J78" s="98">
        <v>35668.225499555556</v>
      </c>
      <c r="K78" s="98">
        <v>42738.538314968318</v>
      </c>
      <c r="L78" s="98">
        <v>38192.280660030337</v>
      </c>
      <c r="M78" s="98">
        <v>55979.423053705454</v>
      </c>
      <c r="N78" s="98">
        <v>35601.494871679221</v>
      </c>
      <c r="O78" s="98">
        <v>47777.312004312145</v>
      </c>
      <c r="P78" s="98">
        <v>31307.02682612645</v>
      </c>
      <c r="Q78" s="98">
        <v>18458.522982278297</v>
      </c>
      <c r="R78" s="98">
        <v>19312.597711286831</v>
      </c>
      <c r="S78" s="98">
        <v>22240.723961449443</v>
      </c>
      <c r="T78" s="98">
        <v>22050.726975936785</v>
      </c>
      <c r="U78" s="98">
        <v>31561.295558547299</v>
      </c>
      <c r="V78" s="98">
        <v>22640.449272100788</v>
      </c>
      <c r="W78" s="98">
        <v>26016.231131571763</v>
      </c>
      <c r="X78" s="98">
        <v>30079.737192847959</v>
      </c>
      <c r="Y78" s="98">
        <v>39125.872441622407</v>
      </c>
      <c r="Z78" s="98">
        <v>28800.339140004406</v>
      </c>
      <c r="AA78" s="98">
        <v>28335.63398678165</v>
      </c>
      <c r="AB78" s="98">
        <v>54776.336391792393</v>
      </c>
      <c r="AC78" s="98">
        <v>33158.469566317137</v>
      </c>
      <c r="AD78" s="98">
        <v>48062.299371094974</v>
      </c>
      <c r="AE78" s="98">
        <v>51538.511834713754</v>
      </c>
      <c r="AF78" s="98">
        <v>32257.113170289889</v>
      </c>
      <c r="AG78" s="98">
        <v>43782.55878208371</v>
      </c>
      <c r="AH78" s="98">
        <v>29433.504627633185</v>
      </c>
    </row>
    <row r="79" spans="1:34" s="98" customFormat="1" x14ac:dyDescent="0.25">
      <c r="A79" s="98" t="s">
        <v>119</v>
      </c>
      <c r="B79" s="98">
        <v>550.18604162292729</v>
      </c>
      <c r="C79" s="98">
        <v>528.82778202362726</v>
      </c>
      <c r="D79" s="98">
        <v>414.65067663391034</v>
      </c>
      <c r="E79" s="98">
        <v>463.60716902210231</v>
      </c>
      <c r="F79" s="98">
        <v>687.32687946494138</v>
      </c>
      <c r="G79" s="98">
        <v>647.18603739571438</v>
      </c>
      <c r="H79" s="98">
        <v>687.5692076251047</v>
      </c>
      <c r="I79" s="98">
        <v>393.02296011185075</v>
      </c>
      <c r="J79" s="98">
        <v>479.58270123823246</v>
      </c>
      <c r="K79" s="98">
        <v>650.24349249155034</v>
      </c>
      <c r="L79" s="98">
        <v>1077.1782795460422</v>
      </c>
      <c r="M79" s="98">
        <v>1194.5005855558043</v>
      </c>
      <c r="N79" s="98">
        <v>851.83315545786525</v>
      </c>
      <c r="O79" s="98">
        <v>1122.0690333978901</v>
      </c>
      <c r="P79" s="98">
        <v>746.42189659315636</v>
      </c>
      <c r="Q79" s="98">
        <v>458.45145337169981</v>
      </c>
      <c r="R79" s="98">
        <v>681.3746126471284</v>
      </c>
      <c r="S79" s="98">
        <v>734.80405533097394</v>
      </c>
      <c r="T79" s="98">
        <v>606.80695194114321</v>
      </c>
      <c r="U79" s="98">
        <v>803.16309506798279</v>
      </c>
      <c r="V79" s="98">
        <v>493.55492697958454</v>
      </c>
      <c r="W79" s="98">
        <v>1039.7210928023655</v>
      </c>
      <c r="X79" s="98">
        <v>1300.6316207562029</v>
      </c>
      <c r="Y79" s="98">
        <v>1055.613187000745</v>
      </c>
      <c r="Z79" s="98">
        <v>841.97889464622563</v>
      </c>
      <c r="AA79" s="98">
        <v>621.35787324882506</v>
      </c>
      <c r="AB79" s="98">
        <v>611.8310336999856</v>
      </c>
      <c r="AC79" s="98">
        <v>1000.8436828935943</v>
      </c>
      <c r="AD79" s="98">
        <v>694.85538126802749</v>
      </c>
      <c r="AE79" s="98">
        <v>608.68515056012973</v>
      </c>
      <c r="AF79" s="98">
        <v>860.49458875794869</v>
      </c>
      <c r="AG79" s="98">
        <v>807.9585374032506</v>
      </c>
      <c r="AH79" s="98">
        <v>1010.9282953478471</v>
      </c>
    </row>
    <row r="80" spans="1:34" s="100" customFormat="1" x14ac:dyDescent="0.25">
      <c r="A80" s="100" t="s">
        <v>120</v>
      </c>
      <c r="B80" s="100">
        <v>133188.48008414276</v>
      </c>
      <c r="C80" s="100">
        <v>50944.582544084675</v>
      </c>
      <c r="D80" s="100">
        <v>43462.651811638469</v>
      </c>
      <c r="E80" s="100">
        <v>97439.28656040995</v>
      </c>
      <c r="F80" s="100">
        <v>50858.104284106259</v>
      </c>
      <c r="G80" s="100">
        <v>50364.82210906627</v>
      </c>
      <c r="H80" s="100">
        <v>57073.328828316306</v>
      </c>
      <c r="I80" s="100">
        <v>89921.590599986404</v>
      </c>
      <c r="J80" s="100">
        <v>47858.699810589205</v>
      </c>
      <c r="K80" s="100">
        <v>59227.320877042243</v>
      </c>
      <c r="L80" s="100">
        <v>92018.825900767377</v>
      </c>
      <c r="M80" s="100">
        <v>99139.397390815575</v>
      </c>
      <c r="N80" s="100">
        <v>110147.99446267997</v>
      </c>
      <c r="O80" s="100">
        <v>126259.82491757564</v>
      </c>
      <c r="P80" s="100">
        <v>81146.987157061914</v>
      </c>
      <c r="Q80" s="100">
        <v>55877.303250389021</v>
      </c>
      <c r="R80" s="100">
        <v>52947.251651858183</v>
      </c>
      <c r="S80" s="100">
        <v>44258.674924425293</v>
      </c>
      <c r="T80" s="100">
        <v>43031.800686026945</v>
      </c>
      <c r="U80" s="100">
        <v>23363.639940236342</v>
      </c>
      <c r="V80" s="100">
        <v>40264.298302412251</v>
      </c>
      <c r="W80" s="100">
        <v>46032.405184149662</v>
      </c>
      <c r="X80" s="100">
        <v>41323.760503770791</v>
      </c>
      <c r="Y80" s="100">
        <v>31323.367041161746</v>
      </c>
      <c r="Z80" s="100">
        <v>28540.417932607608</v>
      </c>
      <c r="AA80" s="100">
        <v>40419.671770477886</v>
      </c>
      <c r="AB80" s="100">
        <v>38839.025830795385</v>
      </c>
      <c r="AC80" s="100">
        <v>37041.857679285218</v>
      </c>
      <c r="AD80" s="100">
        <v>100567.95859124746</v>
      </c>
      <c r="AE80" s="100">
        <v>64842.551109275686</v>
      </c>
      <c r="AF80" s="100">
        <v>54248.934658948019</v>
      </c>
      <c r="AG80" s="100">
        <v>77400.909247622229</v>
      </c>
      <c r="AH80" s="100">
        <v>90737.717622962882</v>
      </c>
    </row>
    <row r="81" spans="1:34" s="98" customFormat="1" x14ac:dyDescent="0.25">
      <c r="A81" s="98" t="s">
        <v>121</v>
      </c>
      <c r="B81" s="98">
        <v>59506.14157194335</v>
      </c>
      <c r="C81" s="98">
        <v>38278.863308208071</v>
      </c>
      <c r="D81" s="98">
        <v>28081.078736483865</v>
      </c>
      <c r="E81" s="98">
        <v>22868.239813284999</v>
      </c>
      <c r="F81" s="98">
        <v>39690.681291806213</v>
      </c>
      <c r="G81" s="98">
        <v>29324.189069360229</v>
      </c>
      <c r="H81" s="98">
        <v>29288.604500755613</v>
      </c>
      <c r="I81" s="98">
        <v>24292.106221702343</v>
      </c>
      <c r="J81" s="98">
        <v>29671.508562377065</v>
      </c>
      <c r="K81" s="98">
        <v>24668.36970609723</v>
      </c>
      <c r="L81" s="98">
        <v>35293.7609917722</v>
      </c>
      <c r="M81" s="98">
        <v>54348.264976581013</v>
      </c>
      <c r="N81" s="98">
        <v>38568.994720690222</v>
      </c>
      <c r="O81" s="98">
        <v>43491.429958515109</v>
      </c>
      <c r="P81" s="98">
        <v>28954.321549740762</v>
      </c>
      <c r="Q81" s="98">
        <v>15212.218844692803</v>
      </c>
      <c r="R81" s="98">
        <v>17450.674674348087</v>
      </c>
      <c r="S81" s="98">
        <v>17989.926047106168</v>
      </c>
      <c r="T81" s="98">
        <v>10472.597550484617</v>
      </c>
      <c r="U81" s="98">
        <v>16933.004034357484</v>
      </c>
      <c r="V81" s="98">
        <v>20524.032458821373</v>
      </c>
      <c r="W81" s="98">
        <v>20885.960809147608</v>
      </c>
      <c r="X81" s="98">
        <v>19850.934065041507</v>
      </c>
      <c r="Y81" s="98">
        <v>19140.256581923983</v>
      </c>
      <c r="Z81" s="98">
        <v>20659.342032725261</v>
      </c>
      <c r="AA81" s="98">
        <v>15099.364198216643</v>
      </c>
      <c r="AB81" s="98">
        <v>10512.334069091497</v>
      </c>
      <c r="AC81" s="98">
        <v>16405.069429557585</v>
      </c>
      <c r="AD81" s="98">
        <v>20098.32670868234</v>
      </c>
      <c r="AE81" s="98">
        <v>29417.506390895745</v>
      </c>
      <c r="AF81" s="98">
        <v>22258.274817823021</v>
      </c>
      <c r="AG81" s="98">
        <v>19692.824277717948</v>
      </c>
      <c r="AH81" s="98">
        <v>38909.442164522217</v>
      </c>
    </row>
    <row r="82" spans="1:34" x14ac:dyDescent="0.25">
      <c r="A82" s="90" t="s">
        <v>122</v>
      </c>
      <c r="B82" s="98">
        <v>1095.0905217871903</v>
      </c>
      <c r="C82" s="98">
        <v>414.15596141173552</v>
      </c>
      <c r="D82" s="98">
        <v>443.10222052120093</v>
      </c>
      <c r="E82" s="98">
        <v>342.71924079048961</v>
      </c>
      <c r="F82" s="98">
        <v>342.68084970945677</v>
      </c>
      <c r="G82" s="98">
        <v>348.0446753701633</v>
      </c>
      <c r="H82" s="98">
        <v>621.57093552054152</v>
      </c>
      <c r="I82" s="98">
        <v>491.50950325582073</v>
      </c>
      <c r="J82" s="98">
        <v>508.09600207262127</v>
      </c>
      <c r="K82" s="98">
        <v>532.36962325459376</v>
      </c>
      <c r="L82" s="98">
        <v>645.54497928750652</v>
      </c>
      <c r="M82" s="98">
        <v>1139.2215485799968</v>
      </c>
      <c r="N82" s="90">
        <v>548.74527600217664</v>
      </c>
      <c r="O82" s="90">
        <v>521.47132944546115</v>
      </c>
      <c r="P82" s="90">
        <v>469.06638464581897</v>
      </c>
      <c r="Q82" s="90">
        <v>386.89225947438223</v>
      </c>
      <c r="R82" s="90">
        <v>317.78396891299764</v>
      </c>
      <c r="S82" s="90">
        <v>406.93580879352692</v>
      </c>
      <c r="T82" s="90">
        <v>441.82817458108923</v>
      </c>
      <c r="U82" s="90">
        <v>270.41215551376848</v>
      </c>
      <c r="V82" s="90">
        <v>248.49481442103172</v>
      </c>
      <c r="W82" s="90">
        <v>410.75813870592845</v>
      </c>
      <c r="X82" s="90">
        <v>831.60534197513186</v>
      </c>
      <c r="Y82" s="90">
        <v>472.88403260268717</v>
      </c>
      <c r="Z82" s="90">
        <v>168.41980088400479</v>
      </c>
      <c r="AA82" s="90">
        <v>372.33287745145435</v>
      </c>
      <c r="AB82" s="90">
        <v>214.53178014875488</v>
      </c>
      <c r="AC82" s="98">
        <v>202.52072365610326</v>
      </c>
      <c r="AD82" s="98">
        <v>291.88252214855919</v>
      </c>
      <c r="AE82" s="98">
        <v>471.50187875349138</v>
      </c>
      <c r="AF82" s="98">
        <v>384.47148388438183</v>
      </c>
      <c r="AG82" s="98">
        <v>612.60530196191667</v>
      </c>
      <c r="AH82" s="98">
        <v>409.57308446336828</v>
      </c>
    </row>
    <row r="84" spans="1:34" x14ac:dyDescent="0.25">
      <c r="A84" s="89" t="s">
        <v>139</v>
      </c>
    </row>
    <row r="85" spans="1:34" s="100" customFormat="1" x14ac:dyDescent="0.25">
      <c r="A85" s="100" t="s">
        <v>140</v>
      </c>
      <c r="B85" s="100">
        <v>9655.0541372717562</v>
      </c>
      <c r="C85" s="100">
        <v>4096.0838370154943</v>
      </c>
      <c r="D85" s="100">
        <v>4999.7086074192011</v>
      </c>
      <c r="E85" s="100">
        <v>6555.3172827919407</v>
      </c>
      <c r="F85" s="100">
        <v>6367.2861996983356</v>
      </c>
      <c r="G85" s="100">
        <v>6877.8510968063219</v>
      </c>
      <c r="H85" s="100">
        <v>8897.3340973934974</v>
      </c>
      <c r="I85" s="100">
        <v>3949.609985073374</v>
      </c>
      <c r="J85" s="100">
        <v>6173.6829562709563</v>
      </c>
      <c r="K85" s="100">
        <v>3429.632032982317</v>
      </c>
      <c r="L85" s="100">
        <v>9424.2427910283459</v>
      </c>
      <c r="M85" s="100">
        <v>18727.642583807905</v>
      </c>
      <c r="N85" s="100">
        <v>10519.901443278492</v>
      </c>
      <c r="O85" s="100">
        <v>14313.959776317715</v>
      </c>
      <c r="P85" s="100">
        <v>14232.03790824785</v>
      </c>
      <c r="Q85" s="100">
        <v>10312.285144559848</v>
      </c>
      <c r="R85" s="100">
        <v>12479.014392090088</v>
      </c>
      <c r="S85" s="100">
        <v>10543.468608197447</v>
      </c>
      <c r="T85" s="100">
        <v>7922.4911588178784</v>
      </c>
      <c r="U85" s="100">
        <v>11924.060402407866</v>
      </c>
      <c r="V85" s="100">
        <v>6623.5510823728946</v>
      </c>
      <c r="W85" s="100">
        <v>8306.9296101520467</v>
      </c>
      <c r="X85" s="100">
        <v>12066.898353138087</v>
      </c>
      <c r="Y85" s="100">
        <v>11584.335653139153</v>
      </c>
      <c r="Z85" s="100">
        <v>18212.737237131943</v>
      </c>
      <c r="AA85" s="100">
        <v>6969.3176324166652</v>
      </c>
      <c r="AB85" s="100">
        <v>8796.0553117915733</v>
      </c>
      <c r="AC85" s="100">
        <v>11321.103568459941</v>
      </c>
      <c r="AD85" s="100">
        <v>26582.006626807994</v>
      </c>
      <c r="AE85" s="100">
        <v>30083.68157466835</v>
      </c>
      <c r="AF85" s="100">
        <v>30755.006541731433</v>
      </c>
      <c r="AG85" s="100">
        <v>26508.318060076988</v>
      </c>
      <c r="AH85" s="100">
        <v>13758.382162319078</v>
      </c>
    </row>
    <row r="86" spans="1:34" s="100" customFormat="1" x14ac:dyDescent="0.25">
      <c r="A86" s="100" t="s">
        <v>141</v>
      </c>
      <c r="B86" s="100">
        <v>17103.003303190282</v>
      </c>
      <c r="C86" s="100">
        <v>15774.044110310815</v>
      </c>
      <c r="D86" s="100">
        <v>17963.289788400962</v>
      </c>
      <c r="E86" s="100">
        <v>10406.152313987424</v>
      </c>
      <c r="F86" s="100">
        <v>11267.418964867402</v>
      </c>
      <c r="G86" s="100">
        <v>11992.804241172347</v>
      </c>
      <c r="H86" s="100">
        <v>11877.871735568444</v>
      </c>
      <c r="I86" s="100">
        <v>11299.015972814776</v>
      </c>
      <c r="J86" s="100">
        <v>6153.9525520153766</v>
      </c>
      <c r="K86" s="100">
        <v>6555.5300577848348</v>
      </c>
      <c r="L86" s="100">
        <v>9819.457573208485</v>
      </c>
      <c r="M86" s="100">
        <v>18421.35484806641</v>
      </c>
      <c r="N86" s="100">
        <v>13516.942817253946</v>
      </c>
      <c r="O86" s="100">
        <v>12368.58932892584</v>
      </c>
      <c r="P86" s="100">
        <v>12347.582867272351</v>
      </c>
      <c r="Q86" s="100">
        <v>8888.4453252572057</v>
      </c>
      <c r="R86" s="100">
        <v>8366.3057813096566</v>
      </c>
      <c r="S86" s="100">
        <v>6273.1562436132626</v>
      </c>
      <c r="T86" s="100">
        <v>5148.2820535785231</v>
      </c>
      <c r="U86" s="100">
        <v>9254.8366799111427</v>
      </c>
      <c r="V86" s="100">
        <v>7700.748563631827</v>
      </c>
      <c r="W86" s="100">
        <v>7160.3257128489222</v>
      </c>
      <c r="X86" s="100">
        <v>11864.593716468853</v>
      </c>
      <c r="Y86" s="100">
        <v>6953.9586841381206</v>
      </c>
      <c r="Z86" s="100">
        <v>7729.1859930423925</v>
      </c>
      <c r="AA86" s="100">
        <v>7826.8919452905066</v>
      </c>
      <c r="AB86" s="100">
        <v>6843.0279403069662</v>
      </c>
      <c r="AC86" s="100">
        <v>6646.7343890430711</v>
      </c>
      <c r="AD86" s="100">
        <v>5587.7630468096004</v>
      </c>
      <c r="AE86" s="100">
        <v>4869.5297932550666</v>
      </c>
      <c r="AF86" s="100">
        <v>18408.392242069556</v>
      </c>
      <c r="AG86" s="100">
        <v>8342.159381923886</v>
      </c>
      <c r="AH86" s="100">
        <v>8330.0020199713872</v>
      </c>
    </row>
    <row r="89" spans="1:34" x14ac:dyDescent="0.25">
      <c r="A89" s="89" t="s">
        <v>148</v>
      </c>
      <c r="B89" s="90">
        <v>1617.0171307908097</v>
      </c>
      <c r="C89" s="90">
        <v>1349.8267484274747</v>
      </c>
      <c r="D89" s="90">
        <v>1058.1326269243921</v>
      </c>
      <c r="E89" s="90">
        <v>932.06927726901858</v>
      </c>
      <c r="F89" s="90">
        <v>1746.6349897540047</v>
      </c>
      <c r="G89" s="90">
        <v>1547.5027652682218</v>
      </c>
      <c r="H89" s="90">
        <v>1052.0547855043203</v>
      </c>
      <c r="I89" s="90">
        <v>1747.4906802207063</v>
      </c>
      <c r="J89" s="90">
        <v>1112.1487269550316</v>
      </c>
      <c r="K89" s="90">
        <v>1078.8781653987787</v>
      </c>
      <c r="L89" s="90">
        <v>1009.1915646617805</v>
      </c>
      <c r="M89" s="90">
        <v>1023.9509921595313</v>
      </c>
      <c r="N89" s="90">
        <v>1150.7479671306658</v>
      </c>
      <c r="O89" s="90">
        <v>1577.7105462711104</v>
      </c>
      <c r="P89" s="90">
        <v>1608.2387246415296</v>
      </c>
      <c r="Q89" s="90">
        <v>707.36968722833035</v>
      </c>
      <c r="R89" s="90">
        <v>1596.45876738889</v>
      </c>
      <c r="S89" s="90">
        <v>1067.4804322268078</v>
      </c>
      <c r="T89" s="90">
        <v>848.46563494987458</v>
      </c>
      <c r="U89" s="90">
        <v>2082.4989718531356</v>
      </c>
      <c r="V89" s="90">
        <v>1131.853915620871</v>
      </c>
      <c r="W89" s="90">
        <v>928.24763544939651</v>
      </c>
      <c r="X89" s="90">
        <v>1186.9642492374796</v>
      </c>
      <c r="Y89" s="105">
        <v>398.35366403930277</v>
      </c>
      <c r="Z89" s="105">
        <v>2417.1130243487919</v>
      </c>
      <c r="AA89" s="105">
        <v>1055.591433824939</v>
      </c>
      <c r="AB89" s="105">
        <v>1379.8450087772785</v>
      </c>
      <c r="AC89" s="105">
        <v>978.61938400027498</v>
      </c>
      <c r="AD89" s="105">
        <v>2000.0804030030633</v>
      </c>
      <c r="AE89" s="105">
        <v>1134.7679608714052</v>
      </c>
      <c r="AF89" s="105">
        <v>1212.7444003056335</v>
      </c>
      <c r="AG89" s="105">
        <v>1404.8225737656426</v>
      </c>
      <c r="AH89" s="105">
        <v>1332.497982797762</v>
      </c>
    </row>
    <row r="92" spans="1:34" x14ac:dyDescent="0.25">
      <c r="I92" s="89"/>
    </row>
    <row r="93" spans="1:34" ht="18.75" x14ac:dyDescent="0.3">
      <c r="B93" s="107" t="s">
        <v>186</v>
      </c>
    </row>
    <row r="94" spans="1:34" x14ac:dyDescent="0.25">
      <c r="B94" s="106" t="s">
        <v>187</v>
      </c>
    </row>
  </sheetData>
  <hyperlinks>
    <hyperlink ref="B94" r:id="rId1"/>
  </hyperlink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2</vt:i4>
      </vt:variant>
    </vt:vector>
  </HeadingPairs>
  <TitlesOfParts>
    <vt:vector size="10" baseType="lpstr">
      <vt:lpstr>prehled</vt:lpstr>
      <vt:lpstr>komplet</vt:lpstr>
      <vt:lpstr>organic</vt:lpstr>
      <vt:lpstr>cpc</vt:lpstr>
      <vt:lpstr>zbožáky</vt:lpstr>
      <vt:lpstr>direct,ref,mm,rtb</vt:lpstr>
      <vt:lpstr>nastavit-mesic</vt:lpstr>
      <vt:lpstr>data-sem</vt:lpstr>
      <vt:lpstr>komplet!Oblast_tisku</vt:lpstr>
      <vt:lpstr>prehled!Oblast_tisku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Klein</dc:creator>
  <cp:lastModifiedBy>Adam</cp:lastModifiedBy>
  <cp:lastPrinted>2013-08-01T11:00:52Z</cp:lastPrinted>
  <dcterms:created xsi:type="dcterms:W3CDTF">2013-05-03T12:56:44Z</dcterms:created>
  <dcterms:modified xsi:type="dcterms:W3CDTF">2013-10-13T13:34:25Z</dcterms:modified>
</cp:coreProperties>
</file>